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 - Marketing\02_WEB\Energiesparrechner\"/>
    </mc:Choice>
  </mc:AlternateContent>
  <xr:revisionPtr revIDLastSave="0" documentId="13_ncr:1_{3AF24494-635F-4989-A279-A5FD9A863D73}" xr6:coauthVersionLast="47" xr6:coauthVersionMax="47" xr10:uidLastSave="{00000000-0000-0000-0000-000000000000}"/>
  <bookViews>
    <workbookView xWindow="28680" yWindow="-120" windowWidth="38640" windowHeight="21120" xr2:uid="{F19C276E-566A-E04B-A04E-606F9AFAED25}"/>
  </bookViews>
  <sheets>
    <sheet name="Joulia-Inline" sheetId="2" r:id="rId1"/>
    <sheet name="Joulia-Twinline" sheetId="3" r:id="rId2"/>
  </sheets>
  <definedNames>
    <definedName name="_xlnm._FilterDatabase" localSheetId="0" hidden="1">'Joulia-Inline'!$F$30:$K$40</definedName>
    <definedName name="_xlnm._FilterDatabase" localSheetId="1" hidden="1">'Joulia-Twinline'!$F$30:$K$40</definedName>
    <definedName name="Warmwasseraufbereit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3" l="1"/>
  <c r="B8" i="3"/>
  <c r="F37" i="3"/>
  <c r="K37" i="3" s="1"/>
  <c r="B53" i="2"/>
  <c r="B47" i="2"/>
  <c r="B53" i="3"/>
  <c r="B47" i="3"/>
  <c r="B39" i="3"/>
  <c r="B33" i="3"/>
  <c r="B39" i="2"/>
  <c r="B33" i="2"/>
  <c r="B52" i="3"/>
  <c r="B46" i="3"/>
  <c r="B38" i="3"/>
  <c r="B32" i="3"/>
  <c r="B37" i="3"/>
  <c r="B45" i="3"/>
  <c r="F36" i="3"/>
  <c r="B32" i="2"/>
  <c r="B8" i="2"/>
  <c r="F30" i="2" s="1"/>
  <c r="B31" i="2"/>
  <c r="F33" i="3" l="1"/>
  <c r="K33" i="3" s="1"/>
  <c r="F48" i="3"/>
  <c r="G48" i="3" s="1"/>
  <c r="F52" i="3"/>
  <c r="N52" i="3" s="1"/>
  <c r="O52" i="3" s="1"/>
  <c r="F39" i="3"/>
  <c r="N39" i="3" s="1"/>
  <c r="O39" i="3" s="1"/>
  <c r="F45" i="3"/>
  <c r="N45" i="3" s="1"/>
  <c r="O45" i="3" s="1"/>
  <c r="F30" i="3"/>
  <c r="G30" i="3" s="1"/>
  <c r="B48" i="3"/>
  <c r="N37" i="3"/>
  <c r="O37" i="3" s="1"/>
  <c r="B40" i="3"/>
  <c r="N36" i="3"/>
  <c r="O36" i="3" s="1"/>
  <c r="G36" i="3"/>
  <c r="K36" i="3"/>
  <c r="H36" i="3"/>
  <c r="I36" i="3" s="1"/>
  <c r="B31" i="3"/>
  <c r="B34" i="3" s="1"/>
  <c r="G37" i="3"/>
  <c r="F40" i="3"/>
  <c r="F46" i="3"/>
  <c r="F50" i="3"/>
  <c r="F53" i="3"/>
  <c r="F31" i="3"/>
  <c r="H37" i="3"/>
  <c r="I37" i="3" s="1"/>
  <c r="B51" i="3"/>
  <c r="B54" i="3" s="1"/>
  <c r="F34" i="3"/>
  <c r="F38" i="3"/>
  <c r="F44" i="3"/>
  <c r="F51" i="3"/>
  <c r="F47" i="3"/>
  <c r="F54" i="3"/>
  <c r="F32" i="3"/>
  <c r="B51" i="2"/>
  <c r="H33" i="3" l="1"/>
  <c r="I33" i="3" s="1"/>
  <c r="N33" i="3"/>
  <c r="O33" i="3" s="1"/>
  <c r="G33" i="3"/>
  <c r="H45" i="3"/>
  <c r="I45" i="3" s="1"/>
  <c r="G45" i="3"/>
  <c r="K45" i="3"/>
  <c r="L45" i="3" s="1"/>
  <c r="K48" i="3"/>
  <c r="H48" i="3"/>
  <c r="I48" i="3" s="1"/>
  <c r="K39" i="3"/>
  <c r="L39" i="3" s="1"/>
  <c r="H52" i="3"/>
  <c r="I52" i="3" s="1"/>
  <c r="G52" i="3"/>
  <c r="K52" i="3"/>
  <c r="L52" i="3" s="1"/>
  <c r="G39" i="3"/>
  <c r="H39" i="3"/>
  <c r="I39" i="3" s="1"/>
  <c r="M39" i="3"/>
  <c r="H30" i="3"/>
  <c r="I30" i="3" s="1"/>
  <c r="N48" i="3"/>
  <c r="O48" i="3" s="1"/>
  <c r="P48" i="3" s="1"/>
  <c r="P39" i="3"/>
  <c r="P45" i="3"/>
  <c r="P37" i="3"/>
  <c r="K30" i="3"/>
  <c r="L30" i="3" s="1"/>
  <c r="N30" i="3"/>
  <c r="O30" i="3" s="1"/>
  <c r="P30" i="3" s="1"/>
  <c r="P36" i="3"/>
  <c r="M36" i="3"/>
  <c r="L36" i="3"/>
  <c r="L48" i="3"/>
  <c r="M45" i="3"/>
  <c r="M37" i="3"/>
  <c r="L37" i="3"/>
  <c r="K50" i="3"/>
  <c r="L50" i="3" s="1"/>
  <c r="N50" i="3"/>
  <c r="O50" i="3" s="1"/>
  <c r="P50" i="3" s="1"/>
  <c r="H50" i="3"/>
  <c r="I50" i="3" s="1"/>
  <c r="G50" i="3"/>
  <c r="N32" i="3"/>
  <c r="O32" i="3" s="1"/>
  <c r="P32" i="3" s="1"/>
  <c r="H32" i="3"/>
  <c r="I32" i="3" s="1"/>
  <c r="G32" i="3"/>
  <c r="K32" i="3"/>
  <c r="L32" i="3" s="1"/>
  <c r="G47" i="3"/>
  <c r="H47" i="3"/>
  <c r="I47" i="3" s="1"/>
  <c r="N47" i="3"/>
  <c r="K47" i="3"/>
  <c r="L47" i="3" s="1"/>
  <c r="H44" i="3"/>
  <c r="I44" i="3" s="1"/>
  <c r="G44" i="3"/>
  <c r="N44" i="3"/>
  <c r="K44" i="3"/>
  <c r="L44" i="3" s="1"/>
  <c r="K46" i="3"/>
  <c r="L46" i="3" s="1"/>
  <c r="H46" i="3"/>
  <c r="I46" i="3" s="1"/>
  <c r="G46" i="3"/>
  <c r="N46" i="3"/>
  <c r="M52" i="3"/>
  <c r="K53" i="3"/>
  <c r="L53" i="3" s="1"/>
  <c r="H53" i="3"/>
  <c r="I53" i="3" s="1"/>
  <c r="G53" i="3"/>
  <c r="N53" i="3"/>
  <c r="O53" i="3" s="1"/>
  <c r="P53" i="3" s="1"/>
  <c r="H51" i="3"/>
  <c r="I51" i="3" s="1"/>
  <c r="G51" i="3"/>
  <c r="N51" i="3"/>
  <c r="O51" i="3" s="1"/>
  <c r="P51" i="3" s="1"/>
  <c r="K51" i="3"/>
  <c r="L51" i="3" s="1"/>
  <c r="H38" i="3"/>
  <c r="I38" i="3" s="1"/>
  <c r="G38" i="3"/>
  <c r="K38" i="3"/>
  <c r="L38" i="3" s="1"/>
  <c r="N38" i="3"/>
  <c r="H31" i="3"/>
  <c r="I31" i="3" s="1"/>
  <c r="G31" i="3"/>
  <c r="N31" i="3"/>
  <c r="O31" i="3" s="1"/>
  <c r="P31" i="3" s="1"/>
  <c r="K31" i="3"/>
  <c r="L31" i="3" s="1"/>
  <c r="K40" i="3"/>
  <c r="L40" i="3" s="1"/>
  <c r="H40" i="3"/>
  <c r="I40" i="3" s="1"/>
  <c r="G40" i="3"/>
  <c r="N40" i="3"/>
  <c r="L33" i="3"/>
  <c r="M33" i="3"/>
  <c r="H34" i="3"/>
  <c r="I34" i="3" s="1"/>
  <c r="G34" i="3"/>
  <c r="K34" i="3"/>
  <c r="L34" i="3" s="1"/>
  <c r="N34" i="3"/>
  <c r="O34" i="3" s="1"/>
  <c r="P34" i="3" s="1"/>
  <c r="P52" i="3"/>
  <c r="G54" i="3"/>
  <c r="H54" i="3"/>
  <c r="I54" i="3" s="1"/>
  <c r="N54" i="3"/>
  <c r="O54" i="3" s="1"/>
  <c r="P54" i="3" s="1"/>
  <c r="K54" i="3"/>
  <c r="L54" i="3" s="1"/>
  <c r="P33" i="3"/>
  <c r="B45" i="2"/>
  <c r="H30" i="2"/>
  <c r="I30" i="2" s="1"/>
  <c r="M48" i="3" l="1"/>
  <c r="M32" i="3"/>
  <c r="M30" i="3"/>
  <c r="M31" i="3"/>
  <c r="M51" i="3"/>
  <c r="M54" i="3"/>
  <c r="O44" i="3"/>
  <c r="P44" i="3" s="1"/>
  <c r="M44" i="3"/>
  <c r="O46" i="3"/>
  <c r="P46" i="3" s="1"/>
  <c r="M46" i="3"/>
  <c r="M34" i="3"/>
  <c r="M53" i="3"/>
  <c r="O47" i="3"/>
  <c r="P47" i="3" s="1"/>
  <c r="M47" i="3"/>
  <c r="O40" i="3"/>
  <c r="P40" i="3" s="1"/>
  <c r="M40" i="3"/>
  <c r="O38" i="3"/>
  <c r="P38" i="3" s="1"/>
  <c r="M38" i="3"/>
  <c r="K30" i="2"/>
  <c r="G30" i="2"/>
  <c r="F46" i="2"/>
  <c r="F51" i="2"/>
  <c r="F47" i="2"/>
  <c r="F50" i="2"/>
  <c r="F48" i="2"/>
  <c r="F52" i="2"/>
  <c r="F45" i="2"/>
  <c r="F53" i="2"/>
  <c r="F54" i="2"/>
  <c r="F44" i="2"/>
  <c r="F32" i="2"/>
  <c r="H52" i="2" l="1"/>
  <c r="I52" i="2" s="1"/>
  <c r="G52" i="2"/>
  <c r="G48" i="2"/>
  <c r="H48" i="2"/>
  <c r="I48" i="2" s="1"/>
  <c r="G51" i="2"/>
  <c r="H51" i="2"/>
  <c r="I51" i="2" s="1"/>
  <c r="H47" i="2"/>
  <c r="I47" i="2" s="1"/>
  <c r="G47" i="2"/>
  <c r="H46" i="2"/>
  <c r="I46" i="2" s="1"/>
  <c r="G46" i="2"/>
  <c r="H50" i="2"/>
  <c r="I50" i="2" s="1"/>
  <c r="G50" i="2"/>
  <c r="H53" i="2"/>
  <c r="I53" i="2" s="1"/>
  <c r="G53" i="2"/>
  <c r="G44" i="2"/>
  <c r="H44" i="2"/>
  <c r="I44" i="2" s="1"/>
  <c r="G54" i="2"/>
  <c r="H54" i="2"/>
  <c r="I54" i="2" s="1"/>
  <c r="G45" i="2"/>
  <c r="H45" i="2"/>
  <c r="I45" i="2" s="1"/>
  <c r="G32" i="2"/>
  <c r="H32" i="2"/>
  <c r="I32" i="2" s="1"/>
  <c r="F31" i="2"/>
  <c r="G31" i="2" l="1"/>
  <c r="H31" i="2"/>
  <c r="I31" i="2" s="1"/>
  <c r="F38" i="2"/>
  <c r="F34" i="2"/>
  <c r="F39" i="2"/>
  <c r="F37" i="2"/>
  <c r="F36" i="2"/>
  <c r="F33" i="2"/>
  <c r="F40" i="2"/>
  <c r="G36" i="2" l="1"/>
  <c r="H36" i="2"/>
  <c r="I36" i="2" s="1"/>
  <c r="G39" i="2"/>
  <c r="H39" i="2"/>
  <c r="I39" i="2" s="1"/>
  <c r="G38" i="2"/>
  <c r="H38" i="2"/>
  <c r="I38" i="2" s="1"/>
  <c r="G37" i="2"/>
  <c r="H37" i="2"/>
  <c r="I37" i="2" s="1"/>
  <c r="G40" i="2"/>
  <c r="H40" i="2"/>
  <c r="I40" i="2" s="1"/>
  <c r="G33" i="2"/>
  <c r="H33" i="2"/>
  <c r="I33" i="2" s="1"/>
  <c r="G34" i="2"/>
  <c r="H34" i="2"/>
  <c r="I34" i="2" s="1"/>
  <c r="N30" i="2"/>
  <c r="O30" i="2" s="1"/>
  <c r="K31" i="2" l="1"/>
  <c r="K32" i="2"/>
  <c r="B34" i="2"/>
  <c r="K33" i="2"/>
  <c r="K34" i="2"/>
  <c r="K36" i="2"/>
  <c r="B37" i="2"/>
  <c r="K37" i="2"/>
  <c r="B38" i="2"/>
  <c r="K38" i="2"/>
  <c r="K39" i="2"/>
  <c r="K40" i="2"/>
  <c r="K44" i="2"/>
  <c r="K45" i="2"/>
  <c r="B46" i="2"/>
  <c r="N46" i="2"/>
  <c r="O46" i="2" s="1"/>
  <c r="K47" i="2"/>
  <c r="K48" i="2"/>
  <c r="K50" i="2"/>
  <c r="K51" i="2"/>
  <c r="B52" i="2"/>
  <c r="K52" i="2"/>
  <c r="N53" i="2"/>
  <c r="O53" i="2" s="1"/>
  <c r="N54" i="2"/>
  <c r="L30" i="2" l="1"/>
  <c r="P30" i="2"/>
  <c r="B40" i="2"/>
  <c r="L40" i="2" s="1"/>
  <c r="N45" i="2"/>
  <c r="O45" i="2" s="1"/>
  <c r="N51" i="2"/>
  <c r="O51" i="2" s="1"/>
  <c r="N44" i="2"/>
  <c r="O44" i="2" s="1"/>
  <c r="N31" i="2"/>
  <c r="O31" i="2" s="1"/>
  <c r="N34" i="2"/>
  <c r="O34" i="2" s="1"/>
  <c r="K46" i="2"/>
  <c r="N33" i="2"/>
  <c r="O33" i="2" s="1"/>
  <c r="N32" i="2"/>
  <c r="O32" i="2" s="1"/>
  <c r="N50" i="2"/>
  <c r="N48" i="2"/>
  <c r="O48" i="2" s="1"/>
  <c r="N47" i="2"/>
  <c r="O47" i="2" s="1"/>
  <c r="N52" i="2"/>
  <c r="O52" i="2" s="1"/>
  <c r="B54" i="2"/>
  <c r="B48" i="2"/>
  <c r="L44" i="2" s="1"/>
  <c r="O54" i="2"/>
  <c r="K54" i="2"/>
  <c r="K53" i="2"/>
  <c r="N40" i="2"/>
  <c r="N39" i="2"/>
  <c r="O39" i="2" s="1"/>
  <c r="N38" i="2"/>
  <c r="O38" i="2" s="1"/>
  <c r="N37" i="2"/>
  <c r="O37" i="2" s="1"/>
  <c r="N36" i="2"/>
  <c r="O36" i="2" s="1"/>
  <c r="P53" i="2" l="1"/>
  <c r="M50" i="2"/>
  <c r="O50" i="2"/>
  <c r="P50" i="2" s="1"/>
  <c r="L33" i="2"/>
  <c r="M30" i="2"/>
  <c r="M51" i="2"/>
  <c r="M53" i="2"/>
  <c r="P39" i="2"/>
  <c r="L37" i="2"/>
  <c r="P37" i="2"/>
  <c r="P38" i="2"/>
  <c r="L39" i="2"/>
  <c r="P36" i="2"/>
  <c r="L38" i="2"/>
  <c r="L36" i="2"/>
  <c r="P54" i="2"/>
  <c r="L52" i="2"/>
  <c r="L51" i="2"/>
  <c r="L53" i="2"/>
  <c r="M54" i="2"/>
  <c r="L50" i="2"/>
  <c r="L54" i="2"/>
  <c r="P51" i="2"/>
  <c r="P52" i="2"/>
  <c r="M45" i="2"/>
  <c r="P45" i="2"/>
  <c r="P46" i="2"/>
  <c r="L46" i="2"/>
  <c r="L47" i="2"/>
  <c r="M46" i="2"/>
  <c r="P44" i="2"/>
  <c r="L45" i="2"/>
  <c r="M44" i="2"/>
  <c r="L34" i="2"/>
  <c r="M48" i="2"/>
  <c r="P48" i="2"/>
  <c r="P34" i="2"/>
  <c r="M52" i="2"/>
  <c r="M31" i="2"/>
  <c r="L31" i="2"/>
  <c r="L32" i="2"/>
  <c r="P31" i="2"/>
  <c r="P47" i="2"/>
  <c r="P33" i="2"/>
  <c r="P32" i="2"/>
  <c r="M32" i="2"/>
  <c r="L48" i="2"/>
  <c r="M34" i="2"/>
  <c r="M33" i="2"/>
  <c r="M38" i="2"/>
  <c r="M39" i="2"/>
  <c r="M47" i="2"/>
  <c r="O40" i="2"/>
  <c r="P40" i="2" s="1"/>
  <c r="M40" i="2"/>
  <c r="M36" i="2"/>
  <c r="M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reto.schmid</author>
  </authors>
  <commentList>
    <comment ref="D26" authorId="0" shapeId="0" xr:uid="{0E46FE5D-06B3-4345-8315-A1709255603B}">
      <text>
        <r>
          <rPr>
            <sz val="9"/>
            <color indexed="81"/>
            <rFont val="Segoe UI"/>
            <family val="2"/>
          </rPr>
          <t>Deutschland:
https://www.finanztip.de/stromvergleich/strompreis/
Schweiz: 
https://www.strompreis.elcom.admin.ch/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reto.schmid</author>
  </authors>
  <commentList>
    <comment ref="D26" authorId="0" shapeId="0" xr:uid="{DB10F8EA-92C2-4743-85A8-E2C13D8C7A55}">
      <text>
        <r>
          <rPr>
            <sz val="9"/>
            <color indexed="81"/>
            <rFont val="Segoe UI"/>
            <family val="2"/>
          </rPr>
          <t>Deutschland:
https://www.finanztip.de/stromvergleich/strompreis/
Schweiz: 
https://www.strompreis.elcom.admin.ch/</t>
        </r>
      </text>
    </comment>
    <comment ref="Q28" authorId="0" shapeId="0" xr:uid="{6DF185A1-EE4D-4525-950D-9D5E66C3739B}">
      <text>
        <r>
          <rPr>
            <b/>
            <sz val="9"/>
            <color indexed="81"/>
            <rFont val="Segoe UI"/>
            <family val="2"/>
          </rPr>
          <t>6P-830 Messungen in 10P-RK 28.03.2019</t>
        </r>
      </text>
    </comment>
    <comment ref="Q42" authorId="0" shapeId="0" xr:uid="{D1DE6825-65C6-4B18-88BC-CAC5846A7062}">
      <text>
        <r>
          <rPr>
            <b/>
            <sz val="9"/>
            <color indexed="81"/>
            <rFont val="Segoe UI"/>
            <family val="2"/>
          </rPr>
          <t>6P-830 Messungen in 10P-RK 28.03.2019</t>
        </r>
      </text>
    </comment>
  </commentList>
</comments>
</file>

<file path=xl/sharedStrings.xml><?xml version="1.0" encoding="utf-8"?>
<sst xmlns="http://schemas.openxmlformats.org/spreadsheetml/2006/main" count="240" uniqueCount="69">
  <si>
    <t>[°C]</t>
  </si>
  <si>
    <t>[J/(kg*K)]</t>
  </si>
  <si>
    <t>[kg/m^3]</t>
  </si>
  <si>
    <t>Effizienz
gem. Joulia
(stationär)</t>
  </si>
  <si>
    <t>Turbulatoren</t>
  </si>
  <si>
    <t>Ja</t>
  </si>
  <si>
    <t>Nein</t>
  </si>
  <si>
    <t>Holz</t>
  </si>
  <si>
    <t>Fernwärme</t>
  </si>
  <si>
    <t>Elektrizität Zentral</t>
  </si>
  <si>
    <t>prov. Effizienz
gem. Joulia
(stationär)</t>
  </si>
  <si>
    <t>Effizienz
gem. KIWA
(stationär)</t>
  </si>
  <si>
    <t>Effizienz
gem. Joulia
(stationär, 6P Prog.)</t>
  </si>
  <si>
    <r>
      <t xml:space="preserve">Joulia-Inline </t>
    </r>
    <r>
      <rPr>
        <sz val="12"/>
        <rFont val="Source Sans Pro Black"/>
        <family val="2"/>
      </rPr>
      <t>5P</t>
    </r>
  </si>
  <si>
    <t>Joulia-Twinline</t>
  </si>
  <si>
    <t>Joulia-Inline</t>
  </si>
  <si>
    <r>
      <t>Joulia-Inline</t>
    </r>
    <r>
      <rPr>
        <b/>
        <sz val="12"/>
        <rFont val="Source Sans Pro"/>
        <family val="2"/>
      </rPr>
      <t xml:space="preserve"> </t>
    </r>
    <r>
      <rPr>
        <b/>
        <sz val="12"/>
        <rFont val="Source Sans Pro Black"/>
        <family val="2"/>
      </rPr>
      <t>3P</t>
    </r>
  </si>
  <si>
    <t>Default values:</t>
  </si>
  <si>
    <t>Cold water temperature</t>
  </si>
  <si>
    <t>Domestic hot water temperature</t>
  </si>
  <si>
    <t>Spec. heat capacity</t>
  </si>
  <si>
    <t>Water density</t>
  </si>
  <si>
    <t>Factor start loss (depends on shower duration)</t>
  </si>
  <si>
    <t>Pollution factor</t>
  </si>
  <si>
    <t>Temperature loss in °C from shower to drain (closed cubicle 2°C / open shower area 4°C)</t>
  </si>
  <si>
    <t>Lifespan of the shower channel in years</t>
  </si>
  <si>
    <t>Average utilisation rate of hot water production for scheme B (⌀ 77% according to Prognos Ex-Post-Analysis 2020)</t>
  </si>
  <si>
    <t>Discount on gross price for end customers</t>
  </si>
  <si>
    <t>Additional expenditure for assembly (material and time)</t>
  </si>
  <si>
    <t>Support contributions and subsidies</t>
  </si>
  <si>
    <t>⌀ Interest on capital</t>
  </si>
  <si>
    <t>Net price comparable product without WRG</t>
  </si>
  <si>
    <t>kWh consumption electric car for 100 km</t>
  </si>
  <si>
    <t>Wattage Power, e.g. energy-saving bulb</t>
  </si>
  <si>
    <t>km Distance Frankfurt - Nordkapp (Norway)</t>
  </si>
  <si>
    <t>Assumption</t>
  </si>
  <si>
    <t>Indicative price gross</t>
  </si>
  <si>
    <t>&gt;&gt; please fill in</t>
  </si>
  <si>
    <t>Number of shower minutes per day and person ( ⌀ in Switzerland 8.7 min)</t>
  </si>
  <si>
    <t>Number of showers per person and year</t>
  </si>
  <si>
    <t>Number of people per shower</t>
  </si>
  <si>
    <t>Energy costs per kilowatt hour (price/kWh)</t>
  </si>
  <si>
    <r>
      <rPr>
        <sz val="18"/>
        <color indexed="8"/>
        <rFont val="Source Sans Pro Black"/>
        <family val="2"/>
      </rPr>
      <t xml:space="preserve">Schema B
</t>
    </r>
    <r>
      <rPr>
        <sz val="12"/>
        <color indexed="8"/>
        <rFont val="Source Sans Pro"/>
        <family val="2"/>
      </rPr>
      <t xml:space="preserve">Hot water </t>
    </r>
    <r>
      <rPr>
        <u/>
        <sz val="12"/>
        <color rgb="FF000000"/>
        <rFont val="Source Sans Pro"/>
        <family val="2"/>
      </rPr>
      <t>centrally</t>
    </r>
    <r>
      <rPr>
        <sz val="12"/>
        <color indexed="8"/>
        <rFont val="Source Sans Pro"/>
        <family val="2"/>
      </rPr>
      <t xml:space="preserve"> in the basement</t>
    </r>
  </si>
  <si>
    <t>Showerhead</t>
  </si>
  <si>
    <t>Saved
Energy/year</t>
  </si>
  <si>
    <t>Corresponds to operating hours of energy-saving lamp</t>
  </si>
  <si>
    <t>Corresponds to 
Range electric car</t>
  </si>
  <si>
    <t>Number of trips
from Frankfurt Nordkapp</t>
  </si>
  <si>
    <t>Saved
Costs/year</t>
  </si>
  <si>
    <t>Amortisation
in years</t>
  </si>
  <si>
    <t>Price/kWh
from Joulia</t>
  </si>
  <si>
    <t>Total energy saving
(lifetime)</t>
  </si>
  <si>
    <t>financial Total savings
(lifetime)</t>
  </si>
  <si>
    <t>Return</t>
  </si>
  <si>
    <t>Net price</t>
  </si>
  <si>
    <t>Additional expenses vs. Subsidies</t>
  </si>
  <si>
    <t>Less compared shower channel without WWHR</t>
  </si>
  <si>
    <t>Shower drain 3P-630</t>
  </si>
  <si>
    <t>Shower drain 5P-630</t>
  </si>
  <si>
    <r>
      <rPr>
        <sz val="18"/>
        <color indexed="8"/>
        <rFont val="Source Sans Pro Black"/>
        <family val="2"/>
      </rPr>
      <t xml:space="preserve">Schema A/C
</t>
    </r>
    <r>
      <rPr>
        <sz val="12"/>
        <color indexed="8"/>
        <rFont val="Source Sans Pro"/>
        <family val="2"/>
      </rPr>
      <t xml:space="preserve">Hot water preparation </t>
    </r>
    <r>
      <rPr>
        <u/>
        <sz val="12"/>
        <color rgb="FF000000"/>
        <rFont val="Source Sans Pro"/>
        <family val="2"/>
      </rPr>
      <t>decentralised</t>
    </r>
    <r>
      <rPr>
        <sz val="12"/>
        <color indexed="8"/>
        <rFont val="Source Sans Pro"/>
        <family val="2"/>
      </rPr>
      <t xml:space="preserve"> in apartment by means of instantaneous water heater or fresh water stations</t>
    </r>
  </si>
  <si>
    <r>
      <t>Joulia-Inline</t>
    </r>
    <r>
      <rPr>
        <b/>
        <sz val="12"/>
        <rFont val="Source Sans Pro"/>
        <family val="2"/>
      </rPr>
      <t xml:space="preserve"> 6</t>
    </r>
    <r>
      <rPr>
        <b/>
        <sz val="12"/>
        <rFont val="Source Sans Pro Black"/>
        <family val="2"/>
      </rPr>
      <t>P</t>
    </r>
  </si>
  <si>
    <r>
      <t xml:space="preserve">Joulia-Inline </t>
    </r>
    <r>
      <rPr>
        <sz val="12"/>
        <rFont val="Source Sans Pro Black"/>
        <family val="2"/>
      </rPr>
      <t>10P</t>
    </r>
  </si>
  <si>
    <t>Additional price of the 3P-WWHR</t>
  </si>
  <si>
    <t>Additional price of the 5P-WWHR</t>
  </si>
  <si>
    <t>Additional price of the 6P-WWHR</t>
  </si>
  <si>
    <t>Additional price of the 10P-WWHR</t>
  </si>
  <si>
    <t>Shower drain 6P-830</t>
  </si>
  <si>
    <t>Shower drain 10P-830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</si>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</sst>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CHF&quot;\ #,##0;&quot;CHF&quot;\ \-#,##0"/>
    <numFmt numFmtId="7" formatCode="&quot;CHF&quot;\ #,##0.00;&quot;CHF&quot;\ \-#,##0.00"/>
    <numFmt numFmtId="43" formatCode="_ * #,##0.00_ ;_ * \-#,##0.00_ ;_ * &quot;-&quot;??_ ;_ @_ "/>
    <numFmt numFmtId="164" formatCode="_ [$Fr.-807]\ * #,##0.00_ ;_ [$Fr.-807]\ * \-#,##0.00_ ;_ [$Fr.-807]\ * &quot;-&quot;??_ ;_ @_ "/>
    <numFmt numFmtId="165" formatCode="_ [$Fr.-807]\ * #,##0_ ;_ [$Fr.-807]\ * \-#,##0_ ;_ [$Fr.-807]\ * &quot;-&quot;??_ ;_ @_ "/>
    <numFmt numFmtId="166" formatCode="0.0%"/>
    <numFmt numFmtId="167" formatCode="_ * #,##0&quot; kWh/a&quot;"/>
    <numFmt numFmtId="168" formatCode="0.0&quot; l/min&quot;"/>
    <numFmt numFmtId="169" formatCode="0&quot; Fr./a&quot;"/>
    <numFmt numFmtId="170" formatCode="0.0&quot; a&quot;"/>
    <numFmt numFmtId="171" formatCode="_ * #,##0&quot; kWh&quot;"/>
    <numFmt numFmtId="172" formatCode="0&quot; kWh&quot;"/>
    <numFmt numFmtId="173" formatCode="0&quot; cm Kupfer&quot;"/>
    <numFmt numFmtId="174" formatCode="0.0&quot; y&quot;"/>
    <numFmt numFmtId="175" formatCode="_ [$€-2]\ * #,##0_ ;_ [$€-2]\ * \-#,##0_ ;_ [$€-2]\ * &quot;-&quot;??_ ;_ @_ "/>
    <numFmt numFmtId="176" formatCode="&quot;CHF&quot;\ #,##0"/>
    <numFmt numFmtId="177" formatCode="0&quot; CHF/a&quot;"/>
    <numFmt numFmtId="178" formatCode="_ * #,##0&quot; h&quot;"/>
    <numFmt numFmtId="179" formatCode="_ * #,##0&quot; km&quot;"/>
    <numFmt numFmtId="180" formatCode="_ * #,##0.0&quot; x&quot;"/>
    <numFmt numFmtId="181" formatCode="0.00&quot; CHF/kWh&quot;"/>
  </numFmts>
  <fonts count="3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Source Sans Pro"/>
      <family val="2"/>
    </font>
    <font>
      <sz val="12"/>
      <color indexed="8"/>
      <name val="Source Sans Pro"/>
      <family val="2"/>
    </font>
    <font>
      <sz val="12"/>
      <name val="Source Sans Pro"/>
      <family val="2"/>
    </font>
    <font>
      <sz val="12"/>
      <name val="Source Sans Pro Black"/>
      <family val="2"/>
    </font>
    <font>
      <sz val="10"/>
      <color rgb="FFFF0000"/>
      <name val="Source Sans Pro"/>
      <family val="2"/>
    </font>
    <font>
      <sz val="12"/>
      <color rgb="FFFF0000"/>
      <name val="Source Sans Pro"/>
      <family val="2"/>
    </font>
    <font>
      <sz val="12"/>
      <color rgb="FF000000"/>
      <name val="Source Sans Pro"/>
      <family val="2"/>
    </font>
    <font>
      <b/>
      <sz val="12"/>
      <color rgb="FFFFFFFF"/>
      <name val="Source Sans Pro Black"/>
      <family val="2"/>
    </font>
    <font>
      <sz val="12"/>
      <color rgb="FFFFFFFF"/>
      <name val="Source Sans Pro Black"/>
      <family val="2"/>
    </font>
    <font>
      <sz val="12"/>
      <color indexed="8"/>
      <name val="Source Sans Pro Black"/>
      <family val="2"/>
    </font>
    <font>
      <sz val="24"/>
      <color theme="0"/>
      <name val="Source Sans Pro Light"/>
      <family val="2"/>
    </font>
    <font>
      <b/>
      <sz val="12"/>
      <color indexed="8"/>
      <name val="Source Sans Pro"/>
      <family val="2"/>
    </font>
    <font>
      <sz val="10"/>
      <color indexed="8"/>
      <name val="Source Sans Pro"/>
      <family val="2"/>
    </font>
    <font>
      <sz val="18"/>
      <color indexed="8"/>
      <name val="Source Sans Pro Light"/>
      <family val="2"/>
    </font>
    <font>
      <sz val="18"/>
      <color indexed="8"/>
      <name val="Source Sans Pro Black"/>
      <family val="2"/>
    </font>
    <font>
      <sz val="20"/>
      <color indexed="8"/>
      <name val="Source Sans Pro"/>
      <family val="2"/>
    </font>
    <font>
      <sz val="12"/>
      <color theme="0"/>
      <name val="Source Sans Pro Black"/>
      <family val="2"/>
    </font>
    <font>
      <u/>
      <sz val="10"/>
      <color indexed="12"/>
      <name val="Arial"/>
      <family val="2"/>
    </font>
    <font>
      <sz val="12"/>
      <color theme="0"/>
      <name val="Source Sans Pro"/>
      <family val="2"/>
    </font>
    <font>
      <b/>
      <sz val="12"/>
      <color theme="0"/>
      <name val="Source Sans Pro Black"/>
      <family val="2"/>
    </font>
    <font>
      <sz val="48"/>
      <color indexed="8"/>
      <name val="Source Sans Pro Light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Source Sans Pro"/>
      <family val="2"/>
    </font>
    <font>
      <b/>
      <sz val="12"/>
      <name val="Source Sans Pro Black"/>
      <family val="2"/>
    </font>
    <font>
      <sz val="12"/>
      <color theme="0" tint="-0.249977111117893"/>
      <name val="Source Sans Pro"/>
      <family val="2"/>
    </font>
    <font>
      <sz val="12"/>
      <color theme="0" tint="-0.249977111117893"/>
      <name val="Source Sans Pro Black"/>
      <family val="2"/>
    </font>
    <font>
      <u/>
      <sz val="12"/>
      <color rgb="FF000000"/>
      <name val="Source Sans Pro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8C14"/>
        <bgColor indexed="64"/>
      </patternFill>
    </fill>
    <fill>
      <patternFill patternType="solid">
        <fgColor rgb="FFBCCA18"/>
        <bgColor indexed="64"/>
      </patternFill>
    </fill>
    <fill>
      <patternFill patternType="solid">
        <fgColor rgb="FFBCCA18"/>
        <bgColor rgb="FF000000"/>
      </patternFill>
    </fill>
    <fill>
      <patternFill patternType="solid">
        <fgColor rgb="FF97A513"/>
        <bgColor rgb="FF000000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9" fillId="2" borderId="0" xfId="1" applyFont="1" applyFill="1" applyAlignment="1" applyProtection="1">
      <alignment horizontal="right" vertical="center" wrapText="1"/>
      <protection locked="0"/>
    </xf>
    <xf numFmtId="0" fontId="2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left" vertical="top"/>
    </xf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166" fontId="4" fillId="0" borderId="0" xfId="1" applyNumberFormat="1" applyFont="1" applyAlignment="1">
      <alignment horizontal="center" wrapText="1"/>
    </xf>
    <xf numFmtId="172" fontId="7" fillId="0" borderId="0" xfId="2" applyNumberFormat="1" applyFont="1" applyAlignment="1" applyProtection="1">
      <alignment horizontal="center" wrapText="1"/>
    </xf>
    <xf numFmtId="164" fontId="6" fillId="0" borderId="0" xfId="1" applyNumberFormat="1" applyFont="1" applyAlignment="1">
      <alignment horizontal="right" vertical="center" wrapText="1"/>
    </xf>
    <xf numFmtId="173" fontId="6" fillId="0" borderId="0" xfId="1" applyNumberFormat="1" applyFont="1" applyAlignment="1">
      <alignment horizontal="left" vertical="center" wrapText="1"/>
    </xf>
    <xf numFmtId="14" fontId="2" fillId="0" borderId="0" xfId="1" applyNumberFormat="1" applyFont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 vertical="top" wrapText="1"/>
    </xf>
    <xf numFmtId="169" fontId="3" fillId="0" borderId="0" xfId="1" applyNumberFormat="1" applyFont="1" applyAlignment="1">
      <alignment horizontal="right" wrapText="1"/>
    </xf>
    <xf numFmtId="171" fontId="3" fillId="0" borderId="0" xfId="2" applyNumberFormat="1" applyFont="1" applyBorder="1" applyAlignment="1">
      <alignment horizontal="center" wrapText="1"/>
    </xf>
    <xf numFmtId="167" fontId="3" fillId="0" borderId="0" xfId="2" applyNumberFormat="1" applyFont="1" applyBorder="1" applyAlignment="1">
      <alignment horizontal="center" wrapText="1"/>
    </xf>
    <xf numFmtId="174" fontId="13" fillId="0" borderId="0" xfId="1" applyNumberFormat="1" applyFont="1" applyAlignment="1">
      <alignment horizontal="center" wrapText="1"/>
    </xf>
    <xf numFmtId="172" fontId="6" fillId="0" borderId="0" xfId="2" applyNumberFormat="1" applyFont="1" applyBorder="1" applyAlignment="1">
      <alignment horizontal="center" wrapText="1"/>
    </xf>
    <xf numFmtId="172" fontId="3" fillId="0" borderId="0" xfId="2" applyNumberFormat="1" applyFont="1" applyBorder="1" applyAlignment="1">
      <alignment horizontal="right" wrapText="1"/>
    </xf>
    <xf numFmtId="172" fontId="3" fillId="0" borderId="0" xfId="2" applyNumberFormat="1" applyFont="1" applyBorder="1" applyAlignment="1">
      <alignment horizontal="left" wrapText="1"/>
    </xf>
    <xf numFmtId="0" fontId="13" fillId="0" borderId="0" xfId="1" applyFont="1" applyAlignment="1">
      <alignment horizontal="center" vertical="top" wrapText="1"/>
    </xf>
    <xf numFmtId="0" fontId="3" fillId="4" borderId="0" xfId="1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vertical="top"/>
    </xf>
    <xf numFmtId="171" fontId="3" fillId="0" borderId="0" xfId="2" applyNumberFormat="1" applyFont="1" applyBorder="1" applyAlignment="1">
      <alignment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wrapText="1"/>
    </xf>
    <xf numFmtId="172" fontId="7" fillId="0" borderId="0" xfId="2" applyNumberFormat="1" applyFont="1" applyBorder="1" applyAlignment="1">
      <alignment horizontal="center" wrapText="1"/>
    </xf>
    <xf numFmtId="172" fontId="3" fillId="0" borderId="0" xfId="2" applyNumberFormat="1" applyFont="1" applyBorder="1" applyAlignment="1">
      <alignment wrapText="1"/>
    </xf>
    <xf numFmtId="172" fontId="3" fillId="0" borderId="0" xfId="2" applyNumberFormat="1" applyFont="1" applyBorder="1" applyAlignment="1">
      <alignment horizontal="center" wrapText="1"/>
    </xf>
    <xf numFmtId="168" fontId="3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19" fillId="0" borderId="0" xfId="4" applyAlignment="1" applyProtection="1">
      <alignment horizontal="left" vertical="top"/>
    </xf>
    <xf numFmtId="0" fontId="20" fillId="6" borderId="0" xfId="1" applyFont="1" applyFill="1" applyAlignment="1">
      <alignment horizontal="right" vertical="top"/>
    </xf>
    <xf numFmtId="0" fontId="21" fillId="5" borderId="0" xfId="1" applyFont="1" applyFill="1" applyAlignment="1">
      <alignment horizontal="right" vertical="center" wrapText="1"/>
    </xf>
    <xf numFmtId="2" fontId="20" fillId="6" borderId="0" xfId="1" applyNumberFormat="1" applyFont="1" applyFill="1" applyAlignment="1">
      <alignment horizontal="right" vertical="top"/>
    </xf>
    <xf numFmtId="0" fontId="4" fillId="0" borderId="0" xfId="1" applyFont="1" applyAlignment="1">
      <alignment horizontal="center" vertical="top"/>
    </xf>
    <xf numFmtId="49" fontId="7" fillId="0" borderId="0" xfId="1" applyNumberFormat="1" applyFont="1" applyAlignment="1">
      <alignment horizontal="right" vertical="top"/>
    </xf>
    <xf numFmtId="0" fontId="3" fillId="4" borderId="0" xfId="1" applyFont="1" applyFill="1" applyAlignment="1">
      <alignment vertical="top" wrapText="1"/>
    </xf>
    <xf numFmtId="0" fontId="3" fillId="4" borderId="0" xfId="1" applyFont="1" applyFill="1" applyAlignment="1">
      <alignment vertical="center" wrapText="1"/>
    </xf>
    <xf numFmtId="7" fontId="10" fillId="2" borderId="0" xfId="1" applyNumberFormat="1" applyFont="1" applyFill="1" applyAlignment="1">
      <alignment horizontal="right" wrapText="1"/>
    </xf>
    <xf numFmtId="177" fontId="8" fillId="0" borderId="0" xfId="1" applyNumberFormat="1" applyFont="1" applyAlignment="1">
      <alignment horizontal="right" wrapText="1"/>
    </xf>
    <xf numFmtId="9" fontId="0" fillId="0" borderId="0" xfId="0" applyNumberFormat="1"/>
    <xf numFmtId="49" fontId="4" fillId="0" borderId="0" xfId="1" applyNumberFormat="1" applyFont="1" applyAlignment="1">
      <alignment horizontal="right" vertical="top"/>
    </xf>
    <xf numFmtId="0" fontId="11" fillId="0" borderId="0" xfId="1" applyFont="1" applyAlignment="1">
      <alignment horizontal="right" vertical="top" wrapText="1"/>
    </xf>
    <xf numFmtId="0" fontId="13" fillId="0" borderId="0" xfId="1" applyFont="1" applyAlignment="1">
      <alignment horizontal="right" vertical="top" wrapText="1"/>
    </xf>
    <xf numFmtId="0" fontId="21" fillId="7" borderId="0" xfId="1" applyFont="1" applyFill="1" applyAlignment="1">
      <alignment horizontal="right" vertical="center" wrapText="1"/>
    </xf>
    <xf numFmtId="2" fontId="21" fillId="7" borderId="0" xfId="1" applyNumberFormat="1" applyFont="1" applyFill="1" applyAlignment="1">
      <alignment horizontal="right" vertical="center" wrapText="1"/>
    </xf>
    <xf numFmtId="9" fontId="18" fillId="7" borderId="0" xfId="3" applyFont="1" applyFill="1" applyBorder="1" applyAlignment="1">
      <alignment horizontal="right" wrapText="1"/>
    </xf>
    <xf numFmtId="5" fontId="10" fillId="8" borderId="0" xfId="1" applyNumberFormat="1" applyFont="1" applyFill="1" applyAlignment="1">
      <alignment horizontal="right" wrapText="1"/>
    </xf>
    <xf numFmtId="166" fontId="18" fillId="7" borderId="0" xfId="3" applyNumberFormat="1" applyFont="1" applyFill="1" applyBorder="1" applyAlignment="1">
      <alignment horizontal="right" wrapText="1"/>
    </xf>
    <xf numFmtId="5" fontId="18" fillId="8" borderId="0" xfId="1" applyNumberFormat="1" applyFont="1" applyFill="1" applyAlignment="1">
      <alignment horizontal="right" wrapText="1"/>
    </xf>
    <xf numFmtId="0" fontId="18" fillId="8" borderId="0" xfId="1" applyFont="1" applyFill="1" applyAlignment="1">
      <alignment horizontal="right" wrapText="1"/>
    </xf>
    <xf numFmtId="178" fontId="3" fillId="0" borderId="0" xfId="2" applyNumberFormat="1" applyFont="1" applyBorder="1" applyAlignment="1">
      <alignment horizontal="center" wrapText="1"/>
    </xf>
    <xf numFmtId="179" fontId="3" fillId="0" borderId="0" xfId="2" applyNumberFormat="1" applyFont="1" applyBorder="1" applyAlignment="1">
      <alignment horizontal="center" wrapText="1"/>
    </xf>
    <xf numFmtId="180" fontId="3" fillId="0" borderId="0" xfId="2" applyNumberFormat="1" applyFont="1" applyBorder="1" applyAlignment="1">
      <alignment horizontal="center" wrapText="1"/>
    </xf>
    <xf numFmtId="167" fontId="3" fillId="9" borderId="0" xfId="2" applyNumberFormat="1" applyFont="1" applyFill="1" applyBorder="1" applyAlignment="1">
      <alignment horizontal="center" vertical="center" wrapText="1"/>
    </xf>
    <xf numFmtId="0" fontId="13" fillId="10" borderId="0" xfId="1" applyFont="1" applyFill="1" applyAlignment="1">
      <alignment horizontal="center" vertical="center" wrapText="1"/>
    </xf>
    <xf numFmtId="0" fontId="13" fillId="11" borderId="0" xfId="1" applyFont="1" applyFill="1" applyAlignment="1">
      <alignment horizontal="center" vertical="center" wrapText="1"/>
    </xf>
    <xf numFmtId="0" fontId="3" fillId="11" borderId="0" xfId="1" applyFont="1" applyFill="1" applyAlignment="1">
      <alignment horizontal="center" vertical="center" wrapText="1"/>
    </xf>
    <xf numFmtId="170" fontId="11" fillId="12" borderId="0" xfId="1" applyNumberFormat="1" applyFont="1" applyFill="1" applyAlignment="1">
      <alignment horizontal="center" wrapText="1"/>
    </xf>
    <xf numFmtId="168" fontId="20" fillId="13" borderId="0" xfId="1" applyNumberFormat="1" applyFont="1" applyFill="1" applyAlignment="1">
      <alignment horizontal="center" wrapText="1"/>
    </xf>
    <xf numFmtId="168" fontId="20" fillId="14" borderId="0" xfId="1" applyNumberFormat="1" applyFont="1" applyFill="1" applyAlignment="1">
      <alignment horizontal="center" wrapText="1"/>
    </xf>
    <xf numFmtId="5" fontId="18" fillId="15" borderId="0" xfId="1" applyNumberFormat="1" applyFont="1" applyFill="1" applyAlignment="1">
      <alignment horizontal="right" wrapText="1"/>
    </xf>
    <xf numFmtId="5" fontId="18" fillId="16" borderId="0" xfId="1" applyNumberFormat="1" applyFont="1" applyFill="1" applyAlignment="1">
      <alignment horizontal="right" wrapText="1"/>
    </xf>
    <xf numFmtId="0" fontId="4" fillId="0" borderId="0" xfId="1" applyFont="1" applyAlignment="1">
      <alignment vertical="top"/>
    </xf>
    <xf numFmtId="167" fontId="13" fillId="17" borderId="0" xfId="2" applyNumberFormat="1" applyFont="1" applyFill="1" applyBorder="1" applyAlignment="1">
      <alignment horizontal="center" vertical="center" wrapText="1"/>
    </xf>
    <xf numFmtId="5" fontId="8" fillId="0" borderId="0" xfId="1" applyNumberFormat="1" applyFont="1" applyAlignment="1">
      <alignment horizontal="right" wrapText="1"/>
    </xf>
    <xf numFmtId="166" fontId="3" fillId="0" borderId="0" xfId="3" applyNumberFormat="1" applyFont="1" applyFill="1" applyBorder="1" applyAlignment="1">
      <alignment horizontal="center" wrapText="1"/>
    </xf>
    <xf numFmtId="175" fontId="8" fillId="0" borderId="0" xfId="1" applyNumberFormat="1" applyFont="1" applyAlignment="1">
      <alignment horizontal="right" wrapText="1"/>
    </xf>
    <xf numFmtId="166" fontId="3" fillId="0" borderId="0" xfId="2" applyNumberFormat="1" applyFont="1" applyFill="1" applyBorder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81" fontId="8" fillId="0" borderId="0" xfId="1" applyNumberFormat="1" applyFont="1" applyAlignment="1">
      <alignment horizontal="center" wrapText="1"/>
    </xf>
    <xf numFmtId="0" fontId="27" fillId="0" borderId="0" xfId="1" applyFont="1" applyAlignment="1">
      <alignment horizontal="left" vertical="center"/>
    </xf>
    <xf numFmtId="176" fontId="27" fillId="0" borderId="0" xfId="1" applyNumberFormat="1" applyFont="1" applyAlignment="1">
      <alignment horizontal="right" vertical="center"/>
    </xf>
    <xf numFmtId="0" fontId="28" fillId="0" borderId="1" xfId="1" applyFont="1" applyBorder="1" applyAlignment="1">
      <alignment horizontal="left" vertical="center"/>
    </xf>
    <xf numFmtId="176" fontId="28" fillId="0" borderId="1" xfId="1" applyNumberFormat="1" applyFont="1" applyBorder="1" applyAlignment="1">
      <alignment horizontal="right" vertical="center"/>
    </xf>
    <xf numFmtId="0" fontId="12" fillId="14" borderId="0" xfId="1" applyFont="1" applyFill="1" applyAlignment="1">
      <alignment horizontal="left" vertical="center" wrapText="1"/>
    </xf>
    <xf numFmtId="0" fontId="12" fillId="13" borderId="0" xfId="1" applyFont="1" applyFill="1" applyAlignment="1">
      <alignment horizontal="left" vertical="center" wrapText="1"/>
    </xf>
    <xf numFmtId="0" fontId="4" fillId="0" borderId="0" xfId="1" applyFont="1" applyAlignment="1">
      <alignment horizontal="right" vertical="center"/>
    </xf>
    <xf numFmtId="0" fontId="15" fillId="4" borderId="0" xfId="1" applyFont="1" applyFill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/>
    </xf>
  </cellXfs>
  <cellStyles count="6">
    <cellStyle name="Comma 2" xfId="2" xr:uid="{0F7DB8B1-F86E-FF4A-88E7-3DC6243CB936}"/>
    <cellStyle name="Comma 2 2" xfId="5" xr:uid="{3133E2F0-83A6-4552-A762-498C173B2FF9}"/>
    <cellStyle name="Hyperlink 2" xfId="4" xr:uid="{E907AD78-BBB7-4C18-9AF3-DD037AC3CF3B}"/>
    <cellStyle name="Normal 2" xfId="1" xr:uid="{87E24653-8984-064C-8E96-82102F6A72B4}"/>
    <cellStyle name="Percent 2" xfId="3" xr:uid="{4B6843A8-9F61-49D3-AD41-A721757EC7F7}"/>
    <cellStyle name="Standard" xfId="0" builtinId="0"/>
  </cellStyles>
  <dxfs count="0"/>
  <tableStyles count="0" defaultTableStyle="TableStyleMedium2" defaultPivotStyle="PivotStyleLight16"/>
  <colors>
    <mruColors>
      <color rgb="FF97A513"/>
      <color rgb="FFBCCA18"/>
      <color rgb="FFB4B414"/>
      <color rgb="FF8C8C14"/>
      <color rgb="FFD8E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71438</xdr:rowOff>
    </xdr:from>
    <xdr:ext cx="1524564" cy="776287"/>
    <xdr:pic>
      <xdr:nvPicPr>
        <xdr:cNvPr id="3" name="Picture 3">
          <a:extLst>
            <a:ext uri="{FF2B5EF4-FFF2-40B4-BE49-F238E27FC236}">
              <a16:creationId xmlns:a16="http://schemas.microsoft.com/office/drawing/2014/main" id="{F63008A0-1B4A-4A72-B4C3-A491D090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71438"/>
          <a:ext cx="1524564" cy="77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71438</xdr:rowOff>
    </xdr:from>
    <xdr:ext cx="1524564" cy="776287"/>
    <xdr:pic>
      <xdr:nvPicPr>
        <xdr:cNvPr id="2" name="Picture 3">
          <a:extLst>
            <a:ext uri="{FF2B5EF4-FFF2-40B4-BE49-F238E27FC236}">
              <a16:creationId xmlns:a16="http://schemas.microsoft.com/office/drawing/2014/main" id="{FEE3E6D8-69E3-4B85-A072-1EADAF68C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71438"/>
          <a:ext cx="1524564" cy="77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E029-EB60-4F48-8A0C-1A74288DB4BC}">
  <sheetPr>
    <pageSetUpPr fitToPage="1"/>
  </sheetPr>
  <dimension ref="A1:W72"/>
  <sheetViews>
    <sheetView showGridLines="0" tabSelected="1" zoomScale="80" zoomScaleNormal="80" workbookViewId="0">
      <selection activeCell="A21" sqref="A21"/>
    </sheetView>
  </sheetViews>
  <sheetFormatPr baseColWidth="10" defaultColWidth="10.8984375" defaultRowHeight="15.6" outlineLevelRow="1" outlineLevelCol="1" x14ac:dyDescent="0.3"/>
  <cols>
    <col min="1" max="1" width="41.19921875" style="20" bestFit="1" customWidth="1"/>
    <col min="2" max="2" width="13" style="20" bestFit="1" customWidth="1"/>
    <col min="3" max="3" width="3.59765625" style="20" customWidth="1"/>
    <col min="4" max="4" width="12" style="20" customWidth="1"/>
    <col min="5" max="5" width="3.59765625" style="20" customWidth="1"/>
    <col min="6" max="9" width="15.59765625" style="23" customWidth="1"/>
    <col min="10" max="10" width="3.59765625" style="23" customWidth="1"/>
    <col min="11" max="13" width="15.59765625" style="20" customWidth="1"/>
    <col min="14" max="14" width="15.59765625" style="22" customWidth="1"/>
    <col min="15" max="15" width="15.59765625" style="23" customWidth="1"/>
    <col min="16" max="16" width="15.59765625" style="21" customWidth="1"/>
    <col min="17" max="17" width="16.59765625" style="20" hidden="1" customWidth="1" outlineLevel="1"/>
    <col min="18" max="18" width="13.3984375" style="20" hidden="1" customWidth="1" outlineLevel="1"/>
    <col min="19" max="19" width="10.8984375" style="20" collapsed="1"/>
    <col min="20" max="20" width="10.8984375" style="20"/>
    <col min="21" max="21" width="10.8984375" style="20" customWidth="1"/>
    <col min="22" max="22" width="15.69921875" style="20" hidden="1" customWidth="1"/>
    <col min="23" max="23" width="10.8984375" style="20" hidden="1" customWidth="1"/>
    <col min="24" max="24" width="10.8984375" style="20" customWidth="1"/>
    <col min="25" max="16384" width="10.8984375" style="20"/>
  </cols>
  <sheetData>
    <row r="1" spans="1:23" ht="84.75" customHeight="1" x14ac:dyDescent="0.3">
      <c r="A1" s="2"/>
      <c r="B1" s="93" t="s">
        <v>15</v>
      </c>
      <c r="C1" s="93"/>
      <c r="D1" s="93"/>
      <c r="E1" s="93"/>
      <c r="F1" s="93"/>
      <c r="G1" s="93"/>
      <c r="H1" s="93"/>
      <c r="I1" s="93"/>
    </row>
    <row r="2" spans="1:23" ht="16.5" customHeight="1" x14ac:dyDescent="0.3">
      <c r="A2" s="95" t="s">
        <v>68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23" hidden="1" outlineLevel="1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23" hidden="1" outlineLevel="1" x14ac:dyDescent="0.3">
      <c r="A4" s="5" t="s">
        <v>0</v>
      </c>
      <c r="B4" s="6">
        <v>10</v>
      </c>
      <c r="C4" s="6"/>
      <c r="D4" s="94" t="s">
        <v>18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23" hidden="1" outlineLevel="1" x14ac:dyDescent="0.3">
      <c r="A5" s="5" t="s">
        <v>0</v>
      </c>
      <c r="B5" s="6">
        <v>40</v>
      </c>
      <c r="C5" s="6"/>
      <c r="D5" s="94" t="s">
        <v>19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23" hidden="1" outlineLevel="1" x14ac:dyDescent="0.3">
      <c r="A6" s="5" t="s">
        <v>1</v>
      </c>
      <c r="B6" s="6">
        <v>4187</v>
      </c>
      <c r="C6" s="6"/>
      <c r="D6" s="94" t="s">
        <v>20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23" hidden="1" outlineLevel="1" x14ac:dyDescent="0.3">
      <c r="A7" s="5" t="s">
        <v>2</v>
      </c>
      <c r="B7" s="6">
        <v>1000</v>
      </c>
      <c r="C7" s="6"/>
      <c r="D7" s="94" t="s">
        <v>21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23" hidden="1" outlineLevel="1" x14ac:dyDescent="0.3">
      <c r="A8" s="55" t="s">
        <v>35</v>
      </c>
      <c r="B8" s="59">
        <f>((B23*60)-20)/(B23*60)</f>
        <v>0.95833333333333337</v>
      </c>
      <c r="C8" s="6"/>
      <c r="D8" s="7" t="s">
        <v>22</v>
      </c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</row>
    <row r="9" spans="1:23" hidden="1" outlineLevel="1" x14ac:dyDescent="0.3">
      <c r="A9" s="55" t="s">
        <v>35</v>
      </c>
      <c r="B9" s="58">
        <v>0.95</v>
      </c>
      <c r="C9" s="6"/>
      <c r="D9" s="7" t="s">
        <v>23</v>
      </c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</row>
    <row r="10" spans="1:23" ht="15.75" hidden="1" customHeight="1" outlineLevel="1" x14ac:dyDescent="0.3">
      <c r="A10" s="55" t="s">
        <v>35</v>
      </c>
      <c r="B10" s="58">
        <v>2</v>
      </c>
      <c r="C10" s="6"/>
      <c r="D10" s="7" t="s">
        <v>24</v>
      </c>
      <c r="E10" s="7"/>
      <c r="F10" s="6"/>
      <c r="G10" s="6"/>
      <c r="H10" s="6"/>
      <c r="I10" s="6"/>
      <c r="J10" s="6"/>
      <c r="K10" s="7"/>
      <c r="L10" s="7"/>
      <c r="M10" s="7"/>
      <c r="N10" s="8"/>
      <c r="O10" s="6"/>
      <c r="P10" s="48"/>
      <c r="Q10" s="7"/>
    </row>
    <row r="11" spans="1:23" ht="15.75" hidden="1" customHeight="1" outlineLevel="1" x14ac:dyDescent="0.3">
      <c r="A11" s="55" t="s">
        <v>35</v>
      </c>
      <c r="B11" s="58">
        <v>30</v>
      </c>
      <c r="C11" s="45"/>
      <c r="D11" s="94" t="s">
        <v>25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V11" t="s">
        <v>8</v>
      </c>
      <c r="W11" s="54">
        <v>0.77</v>
      </c>
    </row>
    <row r="12" spans="1:23" ht="15.75" hidden="1" customHeight="1" outlineLevel="1" x14ac:dyDescent="0.3">
      <c r="A12" s="55" t="s">
        <v>35</v>
      </c>
      <c r="B12" s="58">
        <v>0.77</v>
      </c>
      <c r="C12" s="45"/>
      <c r="D12" s="94" t="s">
        <v>26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V12" t="s">
        <v>7</v>
      </c>
      <c r="W12" s="54">
        <v>0.51</v>
      </c>
    </row>
    <row r="13" spans="1:23" ht="15.75" hidden="1" customHeight="1" outlineLevel="1" x14ac:dyDescent="0.3">
      <c r="A13" s="55" t="s">
        <v>35</v>
      </c>
      <c r="B13" s="60">
        <v>0</v>
      </c>
      <c r="C13" s="9"/>
      <c r="D13" s="9" t="s">
        <v>27</v>
      </c>
      <c r="E13" s="9"/>
      <c r="F13" s="9"/>
      <c r="G13" s="9"/>
      <c r="H13" s="9"/>
      <c r="I13" s="9"/>
      <c r="J13" s="9"/>
      <c r="K13" s="9"/>
      <c r="L13" s="9"/>
      <c r="M13" s="9"/>
      <c r="N13" s="10"/>
      <c r="O13" s="55"/>
      <c r="P13" s="9"/>
      <c r="Q13" s="9"/>
    </row>
    <row r="14" spans="1:23" ht="15.75" hidden="1" customHeight="1" outlineLevel="1" x14ac:dyDescent="0.3">
      <c r="A14" s="55" t="s">
        <v>35</v>
      </c>
      <c r="B14" s="61">
        <v>50</v>
      </c>
      <c r="C14" s="9"/>
      <c r="D14" s="11" t="s">
        <v>28</v>
      </c>
      <c r="E14" s="7"/>
      <c r="F14" s="7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</row>
    <row r="15" spans="1:23" ht="15.75" hidden="1" customHeight="1" outlineLevel="1" x14ac:dyDescent="0.3">
      <c r="A15" s="55" t="s">
        <v>35</v>
      </c>
      <c r="B15" s="61">
        <v>0</v>
      </c>
      <c r="C15" s="9"/>
      <c r="D15" s="11" t="s">
        <v>29</v>
      </c>
      <c r="E15" s="7"/>
      <c r="F15" s="7"/>
      <c r="G15" s="7"/>
      <c r="H15" s="7"/>
      <c r="I15" s="7"/>
      <c r="J15" s="7"/>
      <c r="K15" s="44"/>
      <c r="L15" s="7"/>
      <c r="M15" s="7"/>
      <c r="N15" s="8"/>
      <c r="O15" s="6"/>
      <c r="P15" s="7"/>
      <c r="Q15" s="7"/>
    </row>
    <row r="16" spans="1:23" ht="15.75" hidden="1" customHeight="1" outlineLevel="1" x14ac:dyDescent="0.3">
      <c r="A16" s="55" t="s">
        <v>35</v>
      </c>
      <c r="B16" s="62">
        <v>2E-3</v>
      </c>
      <c r="C16" s="9"/>
      <c r="D16" s="11" t="s">
        <v>30</v>
      </c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</row>
    <row r="17" spans="1:23" ht="15.75" hidden="1" customHeight="1" outlineLevel="1" x14ac:dyDescent="0.3">
      <c r="A17" s="55" t="s">
        <v>35</v>
      </c>
      <c r="B17" s="63">
        <v>800</v>
      </c>
      <c r="C17" s="9"/>
      <c r="D17" s="11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</row>
    <row r="18" spans="1:23" ht="15.75" hidden="1" customHeight="1" outlineLevel="1" x14ac:dyDescent="0.3">
      <c r="A18" s="55" t="s">
        <v>35</v>
      </c>
      <c r="B18" s="64">
        <v>15</v>
      </c>
      <c r="C18" s="9"/>
      <c r="D18" s="11" t="s">
        <v>32</v>
      </c>
      <c r="E18" s="7"/>
      <c r="F18" s="7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</row>
    <row r="19" spans="1:23" ht="15.75" hidden="1" customHeight="1" outlineLevel="1" x14ac:dyDescent="0.3">
      <c r="A19" s="55" t="s">
        <v>35</v>
      </c>
      <c r="B19" s="64">
        <v>12</v>
      </c>
      <c r="C19" s="9"/>
      <c r="D19" s="11" t="s">
        <v>33</v>
      </c>
      <c r="E19" s="7"/>
      <c r="F19" s="7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</row>
    <row r="20" spans="1:23" ht="15.75" hidden="1" customHeight="1" outlineLevel="1" x14ac:dyDescent="0.3">
      <c r="A20" s="55" t="s">
        <v>35</v>
      </c>
      <c r="B20" s="64">
        <v>3192</v>
      </c>
      <c r="C20" s="9"/>
      <c r="D20" s="11" t="s">
        <v>34</v>
      </c>
      <c r="E20" s="7"/>
      <c r="F20" s="7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</row>
    <row r="21" spans="1:23" ht="15.75" customHeight="1" collapsed="1" x14ac:dyDescent="0.3">
      <c r="A21" s="55" t="s">
        <v>36</v>
      </c>
      <c r="B21" s="75">
        <v>2007</v>
      </c>
      <c r="C21" s="9"/>
      <c r="D21" s="9" t="s">
        <v>16</v>
      </c>
      <c r="E21" s="23"/>
      <c r="K21" s="9"/>
      <c r="L21" s="9"/>
      <c r="M21" s="9"/>
      <c r="N21" s="10"/>
      <c r="O21" s="55"/>
      <c r="P21" s="9"/>
      <c r="Q21" s="9"/>
    </row>
    <row r="22" spans="1:23" ht="15.75" customHeight="1" x14ac:dyDescent="0.3">
      <c r="A22" s="55" t="s">
        <v>36</v>
      </c>
      <c r="B22" s="76">
        <v>2267</v>
      </c>
      <c r="C22" s="9"/>
      <c r="D22" s="9" t="s">
        <v>13</v>
      </c>
      <c r="E22" s="9"/>
      <c r="K22" s="9"/>
      <c r="L22" s="9"/>
      <c r="M22" s="9"/>
      <c r="N22" s="10"/>
      <c r="O22" s="55"/>
      <c r="P22" s="9"/>
      <c r="Q22" s="9"/>
    </row>
    <row r="23" spans="1:23" ht="15.75" customHeight="1" x14ac:dyDescent="0.3">
      <c r="A23" s="49" t="s">
        <v>37</v>
      </c>
      <c r="B23" s="1">
        <v>8</v>
      </c>
      <c r="C23" s="45"/>
      <c r="D23" s="77" t="s">
        <v>38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23" ht="15.75" customHeight="1" x14ac:dyDescent="0.3">
      <c r="A24" s="49" t="s">
        <v>37</v>
      </c>
      <c r="B24" s="46">
        <v>350</v>
      </c>
      <c r="C24" s="45"/>
      <c r="D24" s="77" t="s">
        <v>39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23" ht="15.75" customHeight="1" x14ac:dyDescent="0.3">
      <c r="A25" s="49" t="s">
        <v>37</v>
      </c>
      <c r="B25" s="46">
        <v>4</v>
      </c>
      <c r="C25" s="45"/>
      <c r="D25" s="77" t="s">
        <v>40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3" ht="15.75" customHeight="1" x14ac:dyDescent="0.3">
      <c r="A26" s="49" t="s">
        <v>37</v>
      </c>
      <c r="B26" s="52">
        <v>0.37</v>
      </c>
      <c r="C26" s="47"/>
      <c r="D26" s="77" t="s">
        <v>41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V26" t="s">
        <v>9</v>
      </c>
      <c r="W26" s="54">
        <v>0.78</v>
      </c>
    </row>
    <row r="27" spans="1:23" x14ac:dyDescent="0.3">
      <c r="J27" s="67"/>
    </row>
    <row r="28" spans="1:23" ht="62.4" x14ac:dyDescent="0.3">
      <c r="A28" s="92" t="s">
        <v>42</v>
      </c>
      <c r="B28" s="92"/>
      <c r="C28" s="33"/>
      <c r="D28" s="32" t="s">
        <v>43</v>
      </c>
      <c r="F28" s="78" t="s">
        <v>44</v>
      </c>
      <c r="G28" s="68" t="s">
        <v>45</v>
      </c>
      <c r="H28" s="68" t="s">
        <v>46</v>
      </c>
      <c r="I28" s="68" t="s">
        <v>47</v>
      </c>
      <c r="J28" s="67"/>
      <c r="K28" s="69" t="s">
        <v>48</v>
      </c>
      <c r="L28" s="70" t="s">
        <v>49</v>
      </c>
      <c r="M28" s="71" t="s">
        <v>50</v>
      </c>
      <c r="N28" s="71" t="s">
        <v>51</v>
      </c>
      <c r="O28" s="71" t="s">
        <v>52</v>
      </c>
      <c r="P28" s="71" t="s">
        <v>53</v>
      </c>
      <c r="Q28" s="12" t="s">
        <v>3</v>
      </c>
      <c r="R28" s="51" t="s">
        <v>4</v>
      </c>
    </row>
    <row r="29" spans="1:23" ht="9.75" customHeight="1" x14ac:dyDescent="0.3">
      <c r="A29" s="43"/>
      <c r="B29" s="43"/>
      <c r="C29" s="33"/>
      <c r="D29" s="33"/>
      <c r="F29" s="20"/>
      <c r="G29" s="20"/>
      <c r="H29" s="20"/>
      <c r="I29" s="20"/>
      <c r="J29" s="67"/>
      <c r="O29" s="56"/>
      <c r="P29" s="42"/>
    </row>
    <row r="30" spans="1:23" ht="30" customHeight="1" x14ac:dyDescent="0.3">
      <c r="A30" s="89" t="s">
        <v>57</v>
      </c>
      <c r="B30" s="89"/>
      <c r="C30" s="36"/>
      <c r="D30" s="74">
        <v>5.8</v>
      </c>
      <c r="E30" s="37"/>
      <c r="F30" s="26">
        <f>($D30*$B$7/1000*$B$23*$B$6*($B$5-$B$10-$B$4)*$B$24*$B$25*Q30)/3600000/$B$12*$B$8*$B$9</f>
        <v>630.31047248484845</v>
      </c>
      <c r="G30" s="65">
        <f>F30*1000/$B$19</f>
        <v>52525.872707070703</v>
      </c>
      <c r="H30" s="66">
        <f>F30/$B$18*100</f>
        <v>4202.0698165656559</v>
      </c>
      <c r="I30" s="67">
        <f>H30/$B$20</f>
        <v>1.3164379124579122</v>
      </c>
      <c r="J30" s="67"/>
      <c r="K30" s="53">
        <f>F30*$B$26</f>
        <v>233.21487481939391</v>
      </c>
      <c r="L30" s="72">
        <f>$B$34/K30</f>
        <v>5.3898791874808367</v>
      </c>
      <c r="M30" s="84">
        <f>$B$34/N30</f>
        <v>6.6475176645596989E-2</v>
      </c>
      <c r="N30" s="35">
        <f>F30*$B$11</f>
        <v>18909.314174545452</v>
      </c>
      <c r="O30" s="79">
        <f>N30*$B$26</f>
        <v>6996.4462445818172</v>
      </c>
      <c r="P30" s="80">
        <f>POWER(O30/$B$34,1/$B$11)-1-$B$16</f>
        <v>5.6891366737398474E-2</v>
      </c>
      <c r="Q30" s="13">
        <v>0.252</v>
      </c>
      <c r="R30" s="4" t="s">
        <v>5</v>
      </c>
    </row>
    <row r="31" spans="1:23" ht="20.100000000000001" customHeight="1" x14ac:dyDescent="0.3">
      <c r="A31" s="85" t="s">
        <v>54</v>
      </c>
      <c r="B31" s="86">
        <f>$B$21-($B$21*$B$13)</f>
        <v>2007</v>
      </c>
      <c r="C31" s="36"/>
      <c r="D31" s="74">
        <v>9.1999999999999993</v>
      </c>
      <c r="F31" s="26">
        <f>($D31*$B$7/1000*$B$23*$B$6*($B$5-$B$10-$B$4)*$B$24*$B$25*Q31)/3600000/$B$12*$B$8*$B$9</f>
        <v>932.35580289562245</v>
      </c>
      <c r="G31" s="65">
        <f t="shared" ref="G31:G34" si="0">F31*1000/$B$19</f>
        <v>77696.316907968532</v>
      </c>
      <c r="H31" s="66">
        <f t="shared" ref="H31:H40" si="1">F31/$B$18*100</f>
        <v>6215.705352637483</v>
      </c>
      <c r="I31" s="67">
        <f t="shared" ref="I31:I40" si="2">H31/$B$20</f>
        <v>1.9472761129816676</v>
      </c>
      <c r="J31" s="67"/>
      <c r="K31" s="53">
        <f>F31*$B$26</f>
        <v>344.97164707138029</v>
      </c>
      <c r="L31" s="72">
        <f>$B$34/K31</f>
        <v>3.643777715273818</v>
      </c>
      <c r="M31" s="84">
        <f>$B$34/N31</f>
        <v>4.4939925155043754E-2</v>
      </c>
      <c r="N31" s="35">
        <f>F31*$B$11</f>
        <v>27970.674086868672</v>
      </c>
      <c r="O31" s="79">
        <f>N31*$B$26</f>
        <v>10349.149412141409</v>
      </c>
      <c r="P31" s="80">
        <f>POWER(O31/$B$34,1/$B$11)-1-$B$16</f>
        <v>7.0800529776104293E-2</v>
      </c>
      <c r="Q31" s="13">
        <v>0.23499999999999999</v>
      </c>
      <c r="R31" s="4" t="s">
        <v>5</v>
      </c>
    </row>
    <row r="32" spans="1:23" ht="20.100000000000001" customHeight="1" x14ac:dyDescent="0.3">
      <c r="A32" s="85" t="s">
        <v>55</v>
      </c>
      <c r="B32" s="86">
        <f>$B$14-$B$15</f>
        <v>50</v>
      </c>
      <c r="C32" s="36"/>
      <c r="D32" s="74">
        <v>12.5</v>
      </c>
      <c r="F32" s="26">
        <f>($D32*$B$7/1000*$B$23*$B$6*($B$5-$B$10-$B$4)*$B$24*$B$25*Q32)/3600000/$B$12*$B$8*$B$9</f>
        <v>1126.6325324074071</v>
      </c>
      <c r="G32" s="65">
        <f t="shared" si="0"/>
        <v>93886.044367283932</v>
      </c>
      <c r="H32" s="66">
        <f t="shared" si="1"/>
        <v>7510.8835493827146</v>
      </c>
      <c r="I32" s="67">
        <f t="shared" si="2"/>
        <v>2.3530336934156373</v>
      </c>
      <c r="J32" s="67"/>
      <c r="K32" s="53">
        <f>F32*$B$26</f>
        <v>416.85403699074061</v>
      </c>
      <c r="L32" s="72">
        <f>$B$34/K32</f>
        <v>3.0154439886782747</v>
      </c>
      <c r="M32" s="84">
        <f>$B$34/N32</f>
        <v>3.7190475860365384E-2</v>
      </c>
      <c r="N32" s="35">
        <f>F32*$B$11</f>
        <v>33798.975972222215</v>
      </c>
      <c r="O32" s="79">
        <f>N32*$B$26</f>
        <v>12505.62110972222</v>
      </c>
      <c r="P32" s="80">
        <f>POWER(O32/$B$34,1/$B$11)-1-$B$16</f>
        <v>7.7590364164854542E-2</v>
      </c>
      <c r="Q32" s="13">
        <v>0.20899999999999999</v>
      </c>
      <c r="R32" s="4" t="s">
        <v>5</v>
      </c>
    </row>
    <row r="33" spans="1:18" ht="20.100000000000001" customHeight="1" x14ac:dyDescent="0.3">
      <c r="A33" s="85" t="s">
        <v>56</v>
      </c>
      <c r="B33" s="86">
        <f>$B$17</f>
        <v>800</v>
      </c>
      <c r="C33" s="36"/>
      <c r="D33" s="74">
        <v>18</v>
      </c>
      <c r="F33" s="26">
        <f>($D33*$B$7/1000*$B$23*$B$6*($B$5-$B$10-$B$4)*$B$24*$B$25*Q33)/3600000/$B$12*$B$8*$B$9</f>
        <v>1296.3281884848486</v>
      </c>
      <c r="G33" s="65">
        <f t="shared" si="0"/>
        <v>108027.34904040406</v>
      </c>
      <c r="H33" s="66">
        <f t="shared" si="1"/>
        <v>8642.1879232323226</v>
      </c>
      <c r="I33" s="67">
        <f t="shared" si="2"/>
        <v>2.7074523569023565</v>
      </c>
      <c r="J33" s="67"/>
      <c r="K33" s="53">
        <f>F33*$B$26</f>
        <v>479.64142973939397</v>
      </c>
      <c r="L33" s="72">
        <f>$B$34/K33</f>
        <v>2.6207077246912807</v>
      </c>
      <c r="M33" s="84">
        <f>$B$34/N33</f>
        <v>3.232206193785913E-2</v>
      </c>
      <c r="N33" s="35">
        <f>F33*$B$11</f>
        <v>38889.845654545461</v>
      </c>
      <c r="O33" s="79">
        <f>N33*$B$26</f>
        <v>14389.242892181821</v>
      </c>
      <c r="P33" s="80">
        <f>POWER(O33/$B$34,1/$B$11)-1-$B$16</f>
        <v>8.2651169514733835E-2</v>
      </c>
      <c r="Q33" s="13">
        <v>0.16700000000000001</v>
      </c>
      <c r="R33" s="4" t="s">
        <v>5</v>
      </c>
    </row>
    <row r="34" spans="1:18" ht="20.100000000000001" customHeight="1" x14ac:dyDescent="0.3">
      <c r="A34" s="87" t="s">
        <v>62</v>
      </c>
      <c r="B34" s="88">
        <f>B31+B32-B33</f>
        <v>1257</v>
      </c>
      <c r="C34" s="36"/>
      <c r="D34" s="74">
        <v>24</v>
      </c>
      <c r="E34" s="29"/>
      <c r="F34" s="26">
        <f>($D34*$B$7/1000*$B$23*$B$6*($B$5-$B$10-$B$4)*$B$24*$B$25*Q34)/3600000/$B$12*$B$8*$B$9</f>
        <v>1340.3153725252523</v>
      </c>
      <c r="G34" s="65">
        <f t="shared" si="0"/>
        <v>111692.9477104377</v>
      </c>
      <c r="H34" s="66">
        <f t="shared" si="1"/>
        <v>8935.4358168350154</v>
      </c>
      <c r="I34" s="67">
        <f t="shared" si="2"/>
        <v>2.7993219977553307</v>
      </c>
      <c r="J34" s="67"/>
      <c r="K34" s="53">
        <f>F34*$B$26</f>
        <v>495.91668783434335</v>
      </c>
      <c r="L34" s="72">
        <f>$B$34/K34</f>
        <v>2.5346999422207181</v>
      </c>
      <c r="M34" s="84">
        <f>$B$34/N34</f>
        <v>3.1261299287388855E-2</v>
      </c>
      <c r="N34" s="35">
        <f>F34*$B$11</f>
        <v>40209.461175757569</v>
      </c>
      <c r="O34" s="79">
        <f>N34*$B$26</f>
        <v>14877.500635030301</v>
      </c>
      <c r="P34" s="80">
        <f>POWER(O34/$B$34,1/$B$11)-1-$B$16</f>
        <v>8.3858303340618834E-2</v>
      </c>
      <c r="Q34" s="13">
        <v>0.1295</v>
      </c>
      <c r="R34" s="4" t="s">
        <v>5</v>
      </c>
    </row>
    <row r="35" spans="1:18" ht="9.75" customHeight="1" x14ac:dyDescent="0.3">
      <c r="A35" s="30"/>
      <c r="B35" s="29"/>
      <c r="C35" s="36"/>
      <c r="D35" s="41"/>
      <c r="E35" s="29"/>
      <c r="F35" s="28"/>
      <c r="G35" s="28"/>
      <c r="H35" s="28"/>
      <c r="I35" s="28"/>
      <c r="J35" s="67"/>
      <c r="K35" s="28"/>
      <c r="L35" s="72"/>
      <c r="M35" s="40"/>
      <c r="N35" s="39"/>
      <c r="O35" s="81"/>
      <c r="P35" s="82"/>
      <c r="Q35" s="38"/>
      <c r="R35" s="4"/>
    </row>
    <row r="36" spans="1:18" ht="30" customHeight="1" x14ac:dyDescent="0.3">
      <c r="A36" s="90" t="s">
        <v>58</v>
      </c>
      <c r="B36" s="90"/>
      <c r="C36" s="36"/>
      <c r="D36" s="73">
        <v>5.8</v>
      </c>
      <c r="E36" s="37"/>
      <c r="F36" s="26">
        <f>($D36*$B$7/1000*$B$23*$B$6*($B$5-$B$10-$B$4)*$B$24*$B$25*Q36)/3600000/$B$12*$B$8*$B$9</f>
        <v>956.72125287878782</v>
      </c>
      <c r="G36" s="65">
        <f>F36*1000/$B$19</f>
        <v>79726.771073232318</v>
      </c>
      <c r="H36" s="66">
        <f t="shared" si="1"/>
        <v>6378.1416858585853</v>
      </c>
      <c r="I36" s="67">
        <f t="shared" si="2"/>
        <v>1.9981646885521884</v>
      </c>
      <c r="J36" s="67"/>
      <c r="K36" s="53">
        <f>F36*$B$26</f>
        <v>353.98686356515151</v>
      </c>
      <c r="L36" s="72">
        <f>$B$40/K36</f>
        <v>4.2854697621308624</v>
      </c>
      <c r="M36" s="84">
        <f>$B$40/N36</f>
        <v>5.2854127066280641E-2</v>
      </c>
      <c r="N36" s="35">
        <f>F36*$B$11</f>
        <v>28701.637586363635</v>
      </c>
      <c r="O36" s="79">
        <f>N36*$B$26</f>
        <v>10619.605906954544</v>
      </c>
      <c r="P36" s="80">
        <f>POWER(O36/$B$40,1/$B$11)-1-$B$16</f>
        <v>6.5015579615386176E-2</v>
      </c>
      <c r="Q36" s="13">
        <v>0.38250000000000001</v>
      </c>
      <c r="R36" s="4" t="s">
        <v>5</v>
      </c>
    </row>
    <row r="37" spans="1:18" ht="20.100000000000001" customHeight="1" x14ac:dyDescent="0.3">
      <c r="A37" s="85" t="s">
        <v>54</v>
      </c>
      <c r="B37" s="86">
        <f>$B$22-($B$22*$B$13)</f>
        <v>2267</v>
      </c>
      <c r="C37" s="36"/>
      <c r="D37" s="73">
        <v>9.1999999999999993</v>
      </c>
      <c r="F37" s="26">
        <f>($D37*$B$7/1000*$B$23*$B$6*($B$5-$B$10-$B$4)*$B$24*$B$25*Q37)/3600000/$B$12*$B$8*$B$9</f>
        <v>1353.3045292242418</v>
      </c>
      <c r="G37" s="65">
        <f t="shared" ref="G37:G40" si="3">F37*1000/$B$19</f>
        <v>112775.37743535348</v>
      </c>
      <c r="H37" s="66">
        <f t="shared" si="1"/>
        <v>9022.0301948282795</v>
      </c>
      <c r="I37" s="67">
        <f t="shared" si="2"/>
        <v>2.826450562289561</v>
      </c>
      <c r="J37" s="67"/>
      <c r="K37" s="53">
        <f>F37*$B$26</f>
        <v>500.7226758129695</v>
      </c>
      <c r="L37" s="72">
        <f>$B$40/K37</f>
        <v>3.0296211321706381</v>
      </c>
      <c r="M37" s="84">
        <f>$B$40/N37</f>
        <v>3.7365327296771202E-2</v>
      </c>
      <c r="N37" s="35">
        <f>F37*$B$11</f>
        <v>40599.135876727254</v>
      </c>
      <c r="O37" s="79">
        <f>N37*$B$26</f>
        <v>15021.680274389084</v>
      </c>
      <c r="P37" s="80">
        <f>POWER(O37/$B$40,1/$B$11)-1-$B$16</f>
        <v>7.7421583638209501E-2</v>
      </c>
      <c r="Q37" s="13">
        <v>0.34110000000000001</v>
      </c>
      <c r="R37" s="4" t="s">
        <v>5</v>
      </c>
    </row>
    <row r="38" spans="1:18" ht="20.100000000000001" customHeight="1" x14ac:dyDescent="0.3">
      <c r="A38" s="85" t="s">
        <v>55</v>
      </c>
      <c r="B38" s="86">
        <f>$B$14-$B$15</f>
        <v>50</v>
      </c>
      <c r="C38" s="36"/>
      <c r="D38" s="73">
        <v>12.5</v>
      </c>
      <c r="F38" s="26">
        <f>($D38*$B$7/1000*$B$23*$B$6*($B$5-$B$10-$B$4)*$B$24*$B$25*Q38)/3600000/$B$12*$B$8*$B$9</f>
        <v>1633.8867013047138</v>
      </c>
      <c r="G38" s="65">
        <f t="shared" si="3"/>
        <v>136157.22510872615</v>
      </c>
      <c r="H38" s="66">
        <f t="shared" si="1"/>
        <v>10892.578008698092</v>
      </c>
      <c r="I38" s="67">
        <f t="shared" si="2"/>
        <v>3.4124617821735876</v>
      </c>
      <c r="J38" s="67"/>
      <c r="K38" s="53">
        <f>F38*$B$26</f>
        <v>604.53807948274414</v>
      </c>
      <c r="L38" s="72">
        <f>$B$40/K38</f>
        <v>2.5093539207620768</v>
      </c>
      <c r="M38" s="84">
        <f>$B$40/N38</f>
        <v>3.0948698356065615E-2</v>
      </c>
      <c r="N38" s="35">
        <f>F38*$B$11</f>
        <v>49016.601039141417</v>
      </c>
      <c r="O38" s="79">
        <f>N38*$B$26</f>
        <v>18136.142384482322</v>
      </c>
      <c r="P38" s="80">
        <f>POWER(O38/$B$40,1/$B$11)-1-$B$16</f>
        <v>8.4222124858635672E-2</v>
      </c>
      <c r="Q38" s="13">
        <v>0.30309999999999998</v>
      </c>
      <c r="R38" s="4" t="s">
        <v>5</v>
      </c>
    </row>
    <row r="39" spans="1:18" ht="20.100000000000001" customHeight="1" x14ac:dyDescent="0.3">
      <c r="A39" s="85" t="s">
        <v>56</v>
      </c>
      <c r="B39" s="86">
        <f>$B$17</f>
        <v>800</v>
      </c>
      <c r="C39" s="36"/>
      <c r="D39" s="73">
        <v>18</v>
      </c>
      <c r="F39" s="26">
        <f>($D39*$B$7/1000*$B$23*$B$6*($B$5-$B$10-$B$4)*$B$24*$B$25*Q39)/3600000/$B$12*$B$8*$B$9</f>
        <v>1939.8348161818183</v>
      </c>
      <c r="G39" s="65">
        <f t="shared" si="3"/>
        <v>161652.90134848485</v>
      </c>
      <c r="H39" s="66">
        <f t="shared" si="1"/>
        <v>12932.23210787879</v>
      </c>
      <c r="I39" s="67">
        <f t="shared" si="2"/>
        <v>4.0514511616161624</v>
      </c>
      <c r="J39" s="67"/>
      <c r="K39" s="53">
        <f>F39*$B$26</f>
        <v>717.73888198727275</v>
      </c>
      <c r="L39" s="72">
        <f>$B$40/K39</f>
        <v>2.1135820255407314</v>
      </c>
      <c r="M39" s="84">
        <f>$B$40/N39</f>
        <v>2.6067511648335689E-2</v>
      </c>
      <c r="N39" s="35">
        <f>F39*$B$11</f>
        <v>58195.044485454549</v>
      </c>
      <c r="O39" s="79">
        <f>N39*$B$26</f>
        <v>21532.166459618184</v>
      </c>
      <c r="P39" s="80">
        <f>POWER(O39/$B$40,1/$B$11)-1-$B$16</f>
        <v>9.0454618182166824E-2</v>
      </c>
      <c r="Q39" s="13">
        <v>0.24990000000000001</v>
      </c>
      <c r="R39" s="4" t="s">
        <v>5</v>
      </c>
    </row>
    <row r="40" spans="1:18" ht="20.100000000000001" customHeight="1" x14ac:dyDescent="0.3">
      <c r="A40" s="87" t="s">
        <v>63</v>
      </c>
      <c r="B40" s="88">
        <f>B37+B38-B39</f>
        <v>1517</v>
      </c>
      <c r="C40" s="36"/>
      <c r="D40" s="73">
        <v>24</v>
      </c>
      <c r="F40" s="26">
        <f>($D40*$B$7/1000*$B$23*$B$6*($B$5-$B$10-$B$4)*$B$24*$B$25*Q40)/3600000/$B$12*$B$8*$B$9</f>
        <v>2106.2098711111107</v>
      </c>
      <c r="G40" s="65">
        <f t="shared" si="3"/>
        <v>175517.48925925922</v>
      </c>
      <c r="H40" s="66">
        <f t="shared" si="1"/>
        <v>14041.399140740739</v>
      </c>
      <c r="I40" s="67">
        <f t="shared" si="2"/>
        <v>4.3989345679012342</v>
      </c>
      <c r="J40" s="67"/>
      <c r="K40" s="53">
        <f>F40*$B$26</f>
        <v>779.29765231111094</v>
      </c>
      <c r="L40" s="72">
        <f>$B$40/K40</f>
        <v>1.9466246247517036</v>
      </c>
      <c r="M40" s="84">
        <f>$B$40/N40</f>
        <v>2.400837037193768E-2</v>
      </c>
      <c r="N40" s="35">
        <f>F40*$B$11</f>
        <v>63186.296133333322</v>
      </c>
      <c r="O40" s="79">
        <f>N40*$B$26</f>
        <v>23378.92956933333</v>
      </c>
      <c r="P40" s="80">
        <f>POWER(O40/$B$40,1/$B$11)-1-$B$16</f>
        <v>9.345523400084188E-2</v>
      </c>
      <c r="Q40" s="13">
        <v>0.20349999999999999</v>
      </c>
      <c r="R40" s="4" t="s">
        <v>5</v>
      </c>
    </row>
    <row r="41" spans="1:18" ht="20.100000000000001" customHeight="1" x14ac:dyDescent="0.3">
      <c r="A41" s="34"/>
      <c r="J41" s="67"/>
    </row>
    <row r="42" spans="1:18" ht="61.2" customHeight="1" x14ac:dyDescent="0.3">
      <c r="A42" s="92" t="s">
        <v>59</v>
      </c>
      <c r="B42" s="92"/>
      <c r="C42" s="33"/>
      <c r="D42" s="32" t="s">
        <v>43</v>
      </c>
      <c r="F42" s="78" t="s">
        <v>44</v>
      </c>
      <c r="G42" s="68" t="s">
        <v>45</v>
      </c>
      <c r="H42" s="68" t="s">
        <v>46</v>
      </c>
      <c r="I42" s="68" t="s">
        <v>47</v>
      </c>
      <c r="J42" s="67"/>
      <c r="K42" s="69" t="s">
        <v>48</v>
      </c>
      <c r="L42" s="70" t="s">
        <v>49</v>
      </c>
      <c r="M42" s="71" t="s">
        <v>50</v>
      </c>
      <c r="N42" s="71" t="s">
        <v>51</v>
      </c>
      <c r="O42" s="71" t="s">
        <v>52</v>
      </c>
      <c r="P42" s="71" t="s">
        <v>53</v>
      </c>
      <c r="Q42" s="12" t="s">
        <v>11</v>
      </c>
      <c r="R42" s="51" t="s">
        <v>4</v>
      </c>
    </row>
    <row r="43" spans="1:18" ht="9.75" customHeight="1" x14ac:dyDescent="0.3">
      <c r="F43" s="15"/>
      <c r="G43" s="20"/>
      <c r="H43" s="20"/>
      <c r="I43" s="20"/>
      <c r="J43" s="67"/>
      <c r="K43" s="16"/>
      <c r="O43" s="57"/>
      <c r="P43" s="31"/>
    </row>
    <row r="44" spans="1:18" ht="30" customHeight="1" x14ac:dyDescent="0.3">
      <c r="A44" s="89" t="s">
        <v>57</v>
      </c>
      <c r="B44" s="89"/>
      <c r="D44" s="74">
        <v>5.8</v>
      </c>
      <c r="F44" s="26">
        <f>($D44*$B$7/1000*$B$23*$B$6*($B$5-$B$10-$B$4)*$B$24*$B$25*Q44)/3600000/$B$12*$B$8*$B$9</f>
        <v>774.63156082760929</v>
      </c>
      <c r="G44" s="65">
        <f>F44*1000/$B$19</f>
        <v>64552.630068967439</v>
      </c>
      <c r="H44" s="66">
        <f>F44/$B$18*100</f>
        <v>5164.210405517395</v>
      </c>
      <c r="I44" s="67">
        <f>H44/$B$20</f>
        <v>1.6178604027310135</v>
      </c>
      <c r="J44" s="67"/>
      <c r="K44" s="53">
        <f>F44*$B$26</f>
        <v>286.61367750621542</v>
      </c>
      <c r="L44" s="72">
        <f>$B$48/K44</f>
        <v>4.3856943985959678</v>
      </c>
      <c r="M44" s="84">
        <f>$B$48/N44</f>
        <v>5.4090230916016925E-2</v>
      </c>
      <c r="N44" s="25">
        <f>F44*$B$11</f>
        <v>23238.946824828279</v>
      </c>
      <c r="O44" s="79">
        <f>N44*$B$26</f>
        <v>8598.4103251864635</v>
      </c>
      <c r="P44" s="80">
        <f>POWER(O44/$B$48,1/$B$11)-1-$B$16</f>
        <v>6.4193661405145042E-2</v>
      </c>
      <c r="Q44" s="13">
        <v>0.30969999999999998</v>
      </c>
      <c r="R44" s="4" t="s">
        <v>6</v>
      </c>
    </row>
    <row r="45" spans="1:18" ht="20.100000000000001" customHeight="1" x14ac:dyDescent="0.3">
      <c r="A45" s="85" t="s">
        <v>54</v>
      </c>
      <c r="B45" s="86">
        <f>$B$21-($B$21*$B$13)</f>
        <v>2007</v>
      </c>
      <c r="D45" s="74">
        <v>9.1999999999999993</v>
      </c>
      <c r="F45" s="26">
        <f>($D45*$B$7/1000*$B$23*$B$6*($B$5-$B$10-$B$4)*$B$24*$B$25*Q45)/3600000/$B$12*$B$8*$B$9</f>
        <v>1070.0270640040401</v>
      </c>
      <c r="G45" s="65">
        <f t="shared" ref="G45:G48" si="4">F45*1000/$B$19</f>
        <v>89168.922000336679</v>
      </c>
      <c r="H45" s="66">
        <f t="shared" ref="H45:H48" si="5">F45/$B$18*100</f>
        <v>7133.5137600269336</v>
      </c>
      <c r="I45" s="67">
        <f t="shared" ref="I45:I54" si="6">H45/$B$20</f>
        <v>2.2348100751964077</v>
      </c>
      <c r="J45" s="67"/>
      <c r="K45" s="53">
        <f>F45*$B$26</f>
        <v>395.91001368149483</v>
      </c>
      <c r="L45" s="72">
        <f>$B$48/K45</f>
        <v>3.1749638972537895</v>
      </c>
      <c r="M45" s="84">
        <f>$B$48/N45</f>
        <v>3.9157888066130069E-2</v>
      </c>
      <c r="N45" s="25">
        <f>F45*$B$11</f>
        <v>32100.811920121203</v>
      </c>
      <c r="O45" s="79">
        <f>N45*$B$26</f>
        <v>11877.300410444845</v>
      </c>
      <c r="P45" s="80">
        <f>POWER(O45/$B$48,1/$B$11)-1-$B$16</f>
        <v>7.5736890363674592E-2</v>
      </c>
      <c r="Q45" s="13">
        <v>0.2697</v>
      </c>
      <c r="R45" s="4" t="s">
        <v>6</v>
      </c>
    </row>
    <row r="46" spans="1:18" ht="20.100000000000001" customHeight="1" x14ac:dyDescent="0.3">
      <c r="A46" s="85" t="s">
        <v>55</v>
      </c>
      <c r="B46" s="86">
        <f>$B$14-$B$15</f>
        <v>50</v>
      </c>
      <c r="D46" s="74">
        <v>12.5</v>
      </c>
      <c r="F46" s="26">
        <f>($D46*$B$7/1000*$B$23*$B$6*($B$5-$B$10-$B$4)*$B$24*$B$25*Q46)/3600000/$B$12*$B$8*$B$9</f>
        <v>1279.7251827441075</v>
      </c>
      <c r="G46" s="65">
        <f t="shared" si="4"/>
        <v>106643.76522867562</v>
      </c>
      <c r="H46" s="66">
        <f t="shared" si="5"/>
        <v>8531.50121829405</v>
      </c>
      <c r="I46" s="67">
        <f t="shared" si="6"/>
        <v>2.6727760708941259</v>
      </c>
      <c r="J46" s="67"/>
      <c r="K46" s="53">
        <f>F46*$B$26</f>
        <v>473.49831761531976</v>
      </c>
      <c r="L46" s="72">
        <f>$B$48/K46</f>
        <v>2.654708482029315</v>
      </c>
      <c r="M46" s="84">
        <f>$B$48/N46</f>
        <v>3.2741404611694884E-2</v>
      </c>
      <c r="N46" s="25">
        <f>F46*$B$11</f>
        <v>38391.755482323228</v>
      </c>
      <c r="O46" s="79">
        <f>N46*$B$26</f>
        <v>14204.949528459594</v>
      </c>
      <c r="P46" s="80">
        <f>POWER(O46/$B$48,1/$B$11)-1-$B$16</f>
        <v>8.2185215128723677E-2</v>
      </c>
      <c r="Q46" s="13">
        <v>0.2374</v>
      </c>
      <c r="R46" s="4" t="s">
        <v>6</v>
      </c>
    </row>
    <row r="47" spans="1:18" ht="20.100000000000001" customHeight="1" x14ac:dyDescent="0.3">
      <c r="A47" s="85" t="s">
        <v>56</v>
      </c>
      <c r="B47" s="86">
        <f>$B$17</f>
        <v>800</v>
      </c>
      <c r="D47" s="74">
        <v>18</v>
      </c>
      <c r="F47" s="26">
        <f>($D47*$B$7/1000*$B$23*$B$6*($B$5-$B$10-$B$4)*$B$24*$B$25*Q47)/3600000/$B$12*$B$8*$B$9</f>
        <v>1451.5770733333331</v>
      </c>
      <c r="G47" s="65">
        <f t="shared" si="4"/>
        <v>120964.7561111111</v>
      </c>
      <c r="H47" s="66">
        <f t="shared" si="5"/>
        <v>9677.1804888888873</v>
      </c>
      <c r="I47" s="67">
        <f t="shared" si="6"/>
        <v>3.0316981481481475</v>
      </c>
      <c r="J47" s="67"/>
      <c r="K47" s="53">
        <f>F47*$B$26</f>
        <v>537.0835171333332</v>
      </c>
      <c r="L47" s="72">
        <f>$B$48/K47</f>
        <v>2.3404181284676153</v>
      </c>
      <c r="M47" s="84">
        <f>$B$48/N47</f>
        <v>2.8865156917767251E-2</v>
      </c>
      <c r="N47" s="25">
        <f>F47*$B$11</f>
        <v>43547.312199999993</v>
      </c>
      <c r="O47" s="79">
        <f>N47*$B$26</f>
        <v>16112.505513999997</v>
      </c>
      <c r="P47" s="80">
        <f>POWER(O47/$B$48,1/$B$11)-1-$B$16</f>
        <v>8.6748559415534832E-2</v>
      </c>
      <c r="Q47" s="13">
        <v>0.187</v>
      </c>
      <c r="R47" s="4" t="s">
        <v>6</v>
      </c>
    </row>
    <row r="48" spans="1:18" ht="20.100000000000001" customHeight="1" x14ac:dyDescent="0.3">
      <c r="A48" s="87" t="s">
        <v>62</v>
      </c>
      <c r="B48" s="88">
        <f>B45+B46-B47</f>
        <v>1257</v>
      </c>
      <c r="D48" s="74">
        <v>24</v>
      </c>
      <c r="F48" s="26">
        <f>($D48*$B$7/1000*$B$23*$B$6*($B$5-$B$10-$B$4)*$B$24*$B$25*Q48)/3600000/$B$12*$B$8*$B$9</f>
        <v>1484.179339151515</v>
      </c>
      <c r="G48" s="65">
        <f t="shared" si="4"/>
        <v>123681.61159595958</v>
      </c>
      <c r="H48" s="66">
        <f t="shared" si="5"/>
        <v>9894.5289276767671</v>
      </c>
      <c r="I48" s="67">
        <f t="shared" si="6"/>
        <v>3.0997897643097643</v>
      </c>
      <c r="J48" s="67"/>
      <c r="K48" s="53">
        <f>F48*$B$26</f>
        <v>549.14635548606054</v>
      </c>
      <c r="L48" s="72">
        <f>$B$48/K48</f>
        <v>2.289007269997092</v>
      </c>
      <c r="M48" s="84">
        <f>$B$48/N48</f>
        <v>2.8231089663297466E-2</v>
      </c>
      <c r="N48" s="25">
        <f>F48*$B$11</f>
        <v>44525.380174545448</v>
      </c>
      <c r="O48" s="79">
        <f>N48*$B$26</f>
        <v>16474.390664581817</v>
      </c>
      <c r="P48" s="80">
        <f>POWER(O48/$B$48,1/$B$11)-1-$B$16</f>
        <v>8.7554944963489367E-2</v>
      </c>
      <c r="Q48" s="13">
        <v>0.1434</v>
      </c>
      <c r="R48" s="4" t="s">
        <v>6</v>
      </c>
    </row>
    <row r="49" spans="1:18" ht="9.75" customHeight="1" x14ac:dyDescent="0.3">
      <c r="A49" s="30"/>
      <c r="B49" s="29"/>
      <c r="F49" s="28"/>
      <c r="G49" s="28"/>
      <c r="H49" s="28"/>
      <c r="I49" s="28"/>
      <c r="J49" s="28"/>
      <c r="K49" s="24"/>
      <c r="L49" s="72"/>
      <c r="M49" s="27"/>
      <c r="O49" s="81"/>
      <c r="P49" s="83"/>
      <c r="Q49" s="17"/>
      <c r="R49" s="4"/>
    </row>
    <row r="50" spans="1:18" ht="30" customHeight="1" x14ac:dyDescent="0.3">
      <c r="A50" s="90" t="s">
        <v>58</v>
      </c>
      <c r="B50" s="90"/>
      <c r="D50" s="73">
        <v>5.8</v>
      </c>
      <c r="F50" s="26">
        <f>($D50*$B$7/1000*$B$23*$B$6*($B$5-$B$10-$B$4)*$B$24*$B$25*Q50)/3600000/$B$12*$B$8*$B$9</f>
        <v>1052.268316564983</v>
      </c>
      <c r="G50" s="65">
        <f>F50*1000/$B$19</f>
        <v>87689.026380415249</v>
      </c>
      <c r="H50" s="66">
        <f t="shared" ref="H50:H54" si="7">F50/$B$18*100</f>
        <v>7015.1221104332208</v>
      </c>
      <c r="I50" s="67">
        <f t="shared" si="6"/>
        <v>2.1977199594089036</v>
      </c>
      <c r="J50" s="67"/>
      <c r="K50" s="53">
        <f>F50*$B$26</f>
        <v>389.33927712904369</v>
      </c>
      <c r="L50" s="72">
        <f>$B$54/K50</f>
        <v>3.8963446256597463</v>
      </c>
      <c r="M50" s="84">
        <f>$B$54/N50</f>
        <v>4.8054917049803539E-2</v>
      </c>
      <c r="N50" s="25">
        <f>F50*$B$11</f>
        <v>31568.04949694949</v>
      </c>
      <c r="O50" s="79">
        <f>N50*$B$26</f>
        <v>11680.178313871311</v>
      </c>
      <c r="P50" s="80">
        <f>POWER(O50/$B$54,1/$B$11)-1-$B$16</f>
        <v>6.8406644769853919E-2</v>
      </c>
      <c r="Q50" s="13">
        <v>0.42070000000000002</v>
      </c>
      <c r="R50" s="4" t="s">
        <v>6</v>
      </c>
    </row>
    <row r="51" spans="1:18" ht="20.100000000000001" customHeight="1" x14ac:dyDescent="0.3">
      <c r="A51" s="85" t="s">
        <v>54</v>
      </c>
      <c r="B51" s="86">
        <f>$B$22-($B$22*$B$13)</f>
        <v>2267</v>
      </c>
      <c r="D51" s="73">
        <v>9.1999999999999993</v>
      </c>
      <c r="F51" s="26">
        <f>($D51*$B$7/1000*$B$23*$B$6*($B$5-$B$10-$B$4)*$B$24*$B$25*Q51)/3600000/$B$12*$B$8*$B$9</f>
        <v>1547.7106328067337</v>
      </c>
      <c r="G51" s="65">
        <f t="shared" ref="G51:G54" si="8">F51*1000/$B$19</f>
        <v>128975.88606722781</v>
      </c>
      <c r="H51" s="66">
        <f t="shared" si="7"/>
        <v>10318.070885378225</v>
      </c>
      <c r="I51" s="67">
        <f t="shared" si="6"/>
        <v>3.2324783475495695</v>
      </c>
      <c r="J51" s="67"/>
      <c r="K51" s="53">
        <f>F51*$B$26</f>
        <v>572.65293413849145</v>
      </c>
      <c r="L51" s="72">
        <f>$B$54/K51</f>
        <v>2.6490740020082146</v>
      </c>
      <c r="M51" s="84">
        <f>$B$54/N51</f>
        <v>3.2671912691434643E-2</v>
      </c>
      <c r="N51" s="25">
        <f>F51*$B$11</f>
        <v>46431.318984202007</v>
      </c>
      <c r="O51" s="79">
        <f>N51*$B$26</f>
        <v>17179.588024154742</v>
      </c>
      <c r="P51" s="80">
        <f>POWER(O51/$B$54,1/$B$11)-1-$B$16</f>
        <v>8.2262003578970733E-2</v>
      </c>
      <c r="Q51" s="13">
        <v>0.3901</v>
      </c>
      <c r="R51" s="4" t="s">
        <v>6</v>
      </c>
    </row>
    <row r="52" spans="1:18" ht="20.100000000000001" customHeight="1" x14ac:dyDescent="0.3">
      <c r="A52" s="85" t="s">
        <v>55</v>
      </c>
      <c r="B52" s="86">
        <f>$B$14-$B$15</f>
        <v>50</v>
      </c>
      <c r="D52" s="73">
        <v>12.5</v>
      </c>
      <c r="F52" s="26">
        <f>($D52*$B$7/1000*$B$23*$B$6*($B$5-$B$10-$B$4)*$B$24*$B$25*Q52)/3600000/$B$12*$B$8*$B$9</f>
        <v>1882.3927287878787</v>
      </c>
      <c r="G52" s="65">
        <f t="shared" si="8"/>
        <v>156866.06073232324</v>
      </c>
      <c r="H52" s="66">
        <f t="shared" si="7"/>
        <v>12549.284858585857</v>
      </c>
      <c r="I52" s="67">
        <f t="shared" si="6"/>
        <v>3.9314802188552185</v>
      </c>
      <c r="J52" s="67"/>
      <c r="K52" s="53">
        <f>F52*$B$26</f>
        <v>696.48530965151508</v>
      </c>
      <c r="L52" s="72">
        <f>$B$54/K52</f>
        <v>2.1780789615778509</v>
      </c>
      <c r="M52" s="84">
        <f>$B$54/N52</f>
        <v>2.6862973859460161E-2</v>
      </c>
      <c r="N52" s="25">
        <f>F52*$B$11</f>
        <v>56471.781863636359</v>
      </c>
      <c r="O52" s="79">
        <f>N52*$B$26</f>
        <v>20894.559289545454</v>
      </c>
      <c r="P52" s="80">
        <f>POWER(O52/$B$54,1/$B$11)-1-$B$16</f>
        <v>8.9360558627761932E-2</v>
      </c>
      <c r="Q52" s="13">
        <v>0.34920000000000001</v>
      </c>
      <c r="R52" s="4" t="s">
        <v>6</v>
      </c>
    </row>
    <row r="53" spans="1:18" ht="20.100000000000001" customHeight="1" x14ac:dyDescent="0.3">
      <c r="A53" s="85" t="s">
        <v>56</v>
      </c>
      <c r="B53" s="86">
        <f>$B$17</f>
        <v>800</v>
      </c>
      <c r="D53" s="73">
        <v>18</v>
      </c>
      <c r="F53" s="26">
        <f>($D53*$B$7/1000*$B$23*$B$6*($B$5-$B$10-$B$4)*$B$24*$B$25*Q53)/3600000/$B$12*$B$8*$B$9</f>
        <v>2221.6115421818181</v>
      </c>
      <c r="G53" s="65">
        <f t="shared" si="8"/>
        <v>185134.29518181819</v>
      </c>
      <c r="H53" s="66">
        <f t="shared" si="7"/>
        <v>14810.743614545452</v>
      </c>
      <c r="I53" s="67">
        <f t="shared" si="6"/>
        <v>4.6399572727272718</v>
      </c>
      <c r="J53" s="67"/>
      <c r="K53" s="53">
        <f>F53*$B$26</f>
        <v>821.99627060727266</v>
      </c>
      <c r="L53" s="72">
        <f>$B$54/K53</f>
        <v>1.8455071564731966</v>
      </c>
      <c r="M53" s="84">
        <f>$B$54/N53</f>
        <v>2.2761254929836092E-2</v>
      </c>
      <c r="N53" s="25">
        <f>F53*$B$11</f>
        <v>66648.346265454544</v>
      </c>
      <c r="O53" s="79">
        <f>N53*$B$26</f>
        <v>24659.888118218179</v>
      </c>
      <c r="P53" s="80">
        <f>POWER(O53/$B$54,1/$B$11)-1-$B$16</f>
        <v>9.5404788007002139E-2</v>
      </c>
      <c r="Q53" s="13">
        <v>0.28620000000000001</v>
      </c>
      <c r="R53" s="4" t="s">
        <v>6</v>
      </c>
    </row>
    <row r="54" spans="1:18" ht="20.100000000000001" customHeight="1" x14ac:dyDescent="0.3">
      <c r="A54" s="87" t="s">
        <v>63</v>
      </c>
      <c r="B54" s="88">
        <f>B51+B52-B53</f>
        <v>1517</v>
      </c>
      <c r="D54" s="73">
        <v>24</v>
      </c>
      <c r="F54" s="26">
        <f>($D54*$B$7/1000*$B$23*$B$6*($B$5-$B$10-$B$4)*$B$24*$B$25*Q54)/3600000/$B$12*$B$8*$B$9</f>
        <v>2625.7761390707069</v>
      </c>
      <c r="G54" s="65">
        <f t="shared" si="8"/>
        <v>218814.67825589224</v>
      </c>
      <c r="H54" s="66">
        <f t="shared" si="7"/>
        <v>17505.174260471376</v>
      </c>
      <c r="I54" s="67">
        <f t="shared" si="6"/>
        <v>5.4840771492704814</v>
      </c>
      <c r="J54" s="67"/>
      <c r="K54" s="53">
        <f>F54*$B$26</f>
        <v>971.53717145616156</v>
      </c>
      <c r="L54" s="72">
        <f>$B$54/K54</f>
        <v>1.5614430868623241</v>
      </c>
      <c r="M54" s="84">
        <f>$B$54/N54</f>
        <v>1.9257798071301999E-2</v>
      </c>
      <c r="N54" s="25">
        <f>F54*$B$11</f>
        <v>78773.284172121203</v>
      </c>
      <c r="O54" s="79">
        <f>N54*$B$26</f>
        <v>29146.115143684845</v>
      </c>
      <c r="P54" s="80">
        <f>POWER(O54/$B$54,1/$B$11)-1-$B$16</f>
        <v>0.10153599421457304</v>
      </c>
      <c r="Q54" s="13">
        <v>0.25369999999999998</v>
      </c>
      <c r="R54" s="4" t="s">
        <v>6</v>
      </c>
    </row>
    <row r="55" spans="1:18" ht="17.25" customHeight="1" x14ac:dyDescent="0.3">
      <c r="R55" s="24"/>
    </row>
    <row r="72" spans="6:16" x14ac:dyDescent="0.3">
      <c r="F72" s="20"/>
      <c r="G72" s="20"/>
      <c r="H72" s="20"/>
      <c r="I72" s="20"/>
      <c r="J72" s="20"/>
      <c r="L72" s="18"/>
      <c r="N72" s="91"/>
      <c r="O72" s="91"/>
      <c r="P72" s="19"/>
    </row>
  </sheetData>
  <mergeCells count="16">
    <mergeCell ref="B1:I1"/>
    <mergeCell ref="D11:Q11"/>
    <mergeCell ref="D12:Q12"/>
    <mergeCell ref="D7:Q7"/>
    <mergeCell ref="A2:Q2"/>
    <mergeCell ref="A3:Q3"/>
    <mergeCell ref="D4:Q4"/>
    <mergeCell ref="D5:Q5"/>
    <mergeCell ref="D6:Q6"/>
    <mergeCell ref="A44:B44"/>
    <mergeCell ref="A50:B50"/>
    <mergeCell ref="N72:O72"/>
    <mergeCell ref="A28:B28"/>
    <mergeCell ref="A30:B30"/>
    <mergeCell ref="A36:B36"/>
    <mergeCell ref="A42:B42"/>
  </mergeCells>
  <dataValidations disablePrompts="1" count="1">
    <dataValidation type="list" allowBlank="1" showInputMessage="1" showErrorMessage="1" sqref="D12:K12" xr:uid="{13986E36-DE14-44A3-8365-CF28105EF9E1}">
      <formula1>Warmwasseraufbereitung</formula1>
    </dataValidation>
  </dataValidations>
  <pageMargins left="0.7" right="0.7" top="0.75" bottom="0.75" header="0.3" footer="0.3"/>
  <pageSetup paperSize="9" scale="4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3BAE-ACE2-4F4F-B73C-2E40D371F6C8}">
  <sheetPr>
    <pageSetUpPr fitToPage="1"/>
  </sheetPr>
  <dimension ref="A1:W72"/>
  <sheetViews>
    <sheetView showGridLines="0" zoomScale="80" zoomScaleNormal="80" workbookViewId="0">
      <selection activeCell="A21" sqref="A21"/>
    </sheetView>
  </sheetViews>
  <sheetFormatPr baseColWidth="10" defaultColWidth="10.8984375" defaultRowHeight="15.6" outlineLevelRow="1" outlineLevelCol="1" x14ac:dyDescent="0.3"/>
  <cols>
    <col min="1" max="1" width="41.19921875" style="20" bestFit="1" customWidth="1"/>
    <col min="2" max="2" width="16.19921875" style="20" customWidth="1"/>
    <col min="3" max="3" width="3.59765625" style="20" customWidth="1"/>
    <col min="4" max="4" width="11.69921875" style="20" customWidth="1"/>
    <col min="5" max="5" width="3.59765625" style="20" customWidth="1"/>
    <col min="6" max="9" width="15.59765625" style="23" customWidth="1"/>
    <col min="10" max="10" width="3.59765625" style="23" customWidth="1"/>
    <col min="11" max="13" width="15.59765625" style="20" customWidth="1"/>
    <col min="14" max="14" width="15.59765625" style="22" customWidth="1"/>
    <col min="15" max="15" width="15.59765625" style="23" customWidth="1"/>
    <col min="16" max="16" width="15.59765625" style="21" customWidth="1"/>
    <col min="17" max="17" width="16.59765625" style="20" hidden="1" customWidth="1" outlineLevel="1"/>
    <col min="18" max="18" width="13.3984375" style="20" hidden="1" customWidth="1" outlineLevel="1"/>
    <col min="19" max="19" width="10.8984375" style="20" collapsed="1"/>
    <col min="20" max="20" width="10.8984375" style="20"/>
    <col min="21" max="21" width="10.8984375" style="20" customWidth="1"/>
    <col min="22" max="22" width="15.69921875" style="20" hidden="1" customWidth="1"/>
    <col min="23" max="23" width="10.8984375" style="20" hidden="1" customWidth="1"/>
    <col min="24" max="24" width="10.8984375" style="20" customWidth="1"/>
    <col min="25" max="16384" width="10.8984375" style="20"/>
  </cols>
  <sheetData>
    <row r="1" spans="1:23" ht="84.75" customHeight="1" x14ac:dyDescent="0.3">
      <c r="A1" s="2"/>
      <c r="B1" s="93" t="s">
        <v>14</v>
      </c>
      <c r="C1" s="93"/>
      <c r="D1" s="93"/>
      <c r="E1" s="93"/>
      <c r="F1" s="93"/>
      <c r="G1" s="93"/>
      <c r="H1" s="93"/>
      <c r="I1" s="93"/>
    </row>
    <row r="2" spans="1:23" ht="16.5" customHeight="1" x14ac:dyDescent="0.3">
      <c r="A2" s="95" t="s">
        <v>68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23" hidden="1" outlineLevel="1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23" hidden="1" outlineLevel="1" x14ac:dyDescent="0.3">
      <c r="A4" s="5" t="s">
        <v>0</v>
      </c>
      <c r="B4" s="6">
        <v>10</v>
      </c>
      <c r="C4" s="6"/>
      <c r="D4" s="94" t="s">
        <v>18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23" hidden="1" outlineLevel="1" x14ac:dyDescent="0.3">
      <c r="A5" s="5" t="s">
        <v>0</v>
      </c>
      <c r="B5" s="6">
        <v>40</v>
      </c>
      <c r="C5" s="6"/>
      <c r="D5" s="94" t="s">
        <v>19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23" hidden="1" outlineLevel="1" x14ac:dyDescent="0.3">
      <c r="A6" s="5" t="s">
        <v>1</v>
      </c>
      <c r="B6" s="6">
        <v>4187</v>
      </c>
      <c r="C6" s="6"/>
      <c r="D6" s="94" t="s">
        <v>20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23" hidden="1" outlineLevel="1" x14ac:dyDescent="0.3">
      <c r="A7" s="5" t="s">
        <v>2</v>
      </c>
      <c r="B7" s="6">
        <v>1000</v>
      </c>
      <c r="C7" s="6"/>
      <c r="D7" s="94" t="s">
        <v>21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23" hidden="1" outlineLevel="1" x14ac:dyDescent="0.3">
      <c r="A8" s="55" t="s">
        <v>35</v>
      </c>
      <c r="B8" s="59">
        <f>((B23*60)-20)/(B23*60)</f>
        <v>0.95833333333333337</v>
      </c>
      <c r="C8" s="6"/>
      <c r="D8" s="7" t="s">
        <v>22</v>
      </c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</row>
    <row r="9" spans="1:23" hidden="1" outlineLevel="1" x14ac:dyDescent="0.3">
      <c r="A9" s="55" t="s">
        <v>35</v>
      </c>
      <c r="B9" s="58">
        <v>0.95</v>
      </c>
      <c r="C9" s="6"/>
      <c r="D9" s="7" t="s">
        <v>23</v>
      </c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</row>
    <row r="10" spans="1:23" ht="15.75" hidden="1" customHeight="1" outlineLevel="1" x14ac:dyDescent="0.3">
      <c r="A10" s="55" t="s">
        <v>35</v>
      </c>
      <c r="B10" s="58">
        <v>2</v>
      </c>
      <c r="C10" s="6"/>
      <c r="D10" s="7" t="s">
        <v>24</v>
      </c>
      <c r="E10" s="7"/>
      <c r="F10" s="6"/>
      <c r="G10" s="6"/>
      <c r="H10" s="6"/>
      <c r="I10" s="6"/>
      <c r="J10" s="6"/>
      <c r="K10" s="7"/>
      <c r="L10" s="7"/>
      <c r="M10" s="7"/>
      <c r="N10" s="8"/>
      <c r="O10" s="6"/>
      <c r="P10" s="48"/>
      <c r="Q10" s="7"/>
    </row>
    <row r="11" spans="1:23" ht="15.75" hidden="1" customHeight="1" outlineLevel="1" x14ac:dyDescent="0.3">
      <c r="A11" s="55" t="s">
        <v>35</v>
      </c>
      <c r="B11" s="58">
        <v>30</v>
      </c>
      <c r="C11" s="45"/>
      <c r="D11" s="94" t="s">
        <v>25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V11" t="s">
        <v>8</v>
      </c>
      <c r="W11" s="54">
        <v>0.77</v>
      </c>
    </row>
    <row r="12" spans="1:23" ht="15.75" hidden="1" customHeight="1" outlineLevel="1" x14ac:dyDescent="0.3">
      <c r="A12" s="55" t="s">
        <v>35</v>
      </c>
      <c r="B12" s="58">
        <v>0.77</v>
      </c>
      <c r="C12" s="45"/>
      <c r="D12" s="94" t="s">
        <v>26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V12" t="s">
        <v>7</v>
      </c>
      <c r="W12" s="54">
        <v>0.51</v>
      </c>
    </row>
    <row r="13" spans="1:23" ht="15.75" hidden="1" customHeight="1" outlineLevel="1" x14ac:dyDescent="0.3">
      <c r="A13" s="55" t="s">
        <v>35</v>
      </c>
      <c r="B13" s="60">
        <v>0</v>
      </c>
      <c r="C13" s="9"/>
      <c r="D13" s="9" t="s">
        <v>27</v>
      </c>
      <c r="E13" s="9"/>
      <c r="F13" s="9"/>
      <c r="G13" s="9"/>
      <c r="H13" s="9"/>
      <c r="I13" s="9"/>
      <c r="J13" s="9"/>
      <c r="K13" s="9"/>
      <c r="L13" s="9"/>
      <c r="M13" s="9"/>
      <c r="N13" s="10"/>
      <c r="O13" s="55"/>
      <c r="P13" s="9"/>
      <c r="Q13" s="9"/>
    </row>
    <row r="14" spans="1:23" ht="15.75" hidden="1" customHeight="1" outlineLevel="1" x14ac:dyDescent="0.3">
      <c r="A14" s="55" t="s">
        <v>35</v>
      </c>
      <c r="B14" s="61">
        <v>80</v>
      </c>
      <c r="C14" s="9"/>
      <c r="D14" s="11" t="s">
        <v>28</v>
      </c>
      <c r="E14" s="7"/>
      <c r="F14" s="7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</row>
    <row r="15" spans="1:23" ht="15.75" hidden="1" customHeight="1" outlineLevel="1" x14ac:dyDescent="0.3">
      <c r="A15" s="55" t="s">
        <v>35</v>
      </c>
      <c r="B15" s="61">
        <v>0</v>
      </c>
      <c r="C15" s="9"/>
      <c r="D15" s="11" t="s">
        <v>29</v>
      </c>
      <c r="E15" s="7"/>
      <c r="F15" s="7"/>
      <c r="G15" s="7"/>
      <c r="H15" s="7"/>
      <c r="I15" s="7"/>
      <c r="J15" s="7"/>
      <c r="K15" s="44"/>
      <c r="L15" s="7"/>
      <c r="M15" s="7"/>
      <c r="N15" s="8"/>
      <c r="O15" s="6"/>
      <c r="P15" s="7"/>
      <c r="Q15" s="7"/>
    </row>
    <row r="16" spans="1:23" ht="15.75" hidden="1" customHeight="1" outlineLevel="1" x14ac:dyDescent="0.3">
      <c r="A16" s="55" t="s">
        <v>35</v>
      </c>
      <c r="B16" s="62">
        <v>2E-3</v>
      </c>
      <c r="C16" s="9"/>
      <c r="D16" s="11" t="s">
        <v>30</v>
      </c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</row>
    <row r="17" spans="1:23" ht="15.75" hidden="1" customHeight="1" outlineLevel="1" x14ac:dyDescent="0.3">
      <c r="A17" s="55" t="s">
        <v>35</v>
      </c>
      <c r="B17" s="63">
        <v>800</v>
      </c>
      <c r="C17" s="9"/>
      <c r="D17" s="11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</row>
    <row r="18" spans="1:23" ht="15.75" hidden="1" customHeight="1" outlineLevel="1" x14ac:dyDescent="0.3">
      <c r="A18" s="55" t="s">
        <v>35</v>
      </c>
      <c r="B18" s="64">
        <v>15</v>
      </c>
      <c r="C18" s="9"/>
      <c r="D18" s="11" t="s">
        <v>32</v>
      </c>
      <c r="E18" s="7"/>
      <c r="F18" s="7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</row>
    <row r="19" spans="1:23" ht="15.75" hidden="1" customHeight="1" outlineLevel="1" x14ac:dyDescent="0.3">
      <c r="A19" s="55" t="s">
        <v>35</v>
      </c>
      <c r="B19" s="64">
        <v>12</v>
      </c>
      <c r="C19" s="9"/>
      <c r="D19" s="11" t="s">
        <v>33</v>
      </c>
      <c r="E19" s="7"/>
      <c r="F19" s="7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</row>
    <row r="20" spans="1:23" ht="15.75" hidden="1" customHeight="1" outlineLevel="1" x14ac:dyDescent="0.3">
      <c r="A20" s="55" t="s">
        <v>35</v>
      </c>
      <c r="B20" s="64">
        <v>3192</v>
      </c>
      <c r="C20" s="9"/>
      <c r="D20" s="11" t="s">
        <v>34</v>
      </c>
      <c r="E20" s="7"/>
      <c r="F20" s="7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</row>
    <row r="21" spans="1:23" ht="15.75" customHeight="1" collapsed="1" x14ac:dyDescent="0.3">
      <c r="A21" s="55" t="s">
        <v>36</v>
      </c>
      <c r="B21" s="75">
        <v>2770</v>
      </c>
      <c r="C21" s="9"/>
      <c r="D21" s="9" t="s">
        <v>60</v>
      </c>
      <c r="E21" s="23"/>
      <c r="K21" s="9"/>
      <c r="L21" s="9"/>
      <c r="M21" s="9"/>
      <c r="N21" s="10"/>
      <c r="O21" s="55"/>
      <c r="P21" s="9"/>
      <c r="Q21" s="9"/>
    </row>
    <row r="22" spans="1:23" ht="15.75" customHeight="1" x14ac:dyDescent="0.3">
      <c r="A22" s="55" t="s">
        <v>36</v>
      </c>
      <c r="B22" s="76">
        <v>2970</v>
      </c>
      <c r="C22" s="9"/>
      <c r="D22" s="9" t="s">
        <v>61</v>
      </c>
      <c r="E22" s="9"/>
      <c r="K22" s="9"/>
      <c r="L22" s="9"/>
      <c r="M22" s="9"/>
      <c r="N22" s="10"/>
      <c r="O22" s="55"/>
      <c r="P22" s="9"/>
      <c r="Q22" s="9"/>
    </row>
    <row r="23" spans="1:23" ht="15.75" customHeight="1" x14ac:dyDescent="0.3">
      <c r="A23" s="49" t="s">
        <v>37</v>
      </c>
      <c r="B23" s="1">
        <v>8</v>
      </c>
      <c r="C23" s="45"/>
      <c r="D23" s="77" t="s">
        <v>38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23" ht="15.75" customHeight="1" x14ac:dyDescent="0.3">
      <c r="A24" s="49" t="s">
        <v>37</v>
      </c>
      <c r="B24" s="46">
        <v>350</v>
      </c>
      <c r="C24" s="45"/>
      <c r="D24" s="77" t="s">
        <v>39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23" ht="15.75" customHeight="1" x14ac:dyDescent="0.3">
      <c r="A25" s="49" t="s">
        <v>37</v>
      </c>
      <c r="B25" s="46">
        <v>4</v>
      </c>
      <c r="C25" s="45"/>
      <c r="D25" s="77" t="s">
        <v>40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3" ht="15.75" customHeight="1" x14ac:dyDescent="0.3">
      <c r="A26" s="49" t="s">
        <v>37</v>
      </c>
      <c r="B26" s="52">
        <v>0.37</v>
      </c>
      <c r="C26" s="47"/>
      <c r="D26" s="77" t="s">
        <v>41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V26" t="s">
        <v>9</v>
      </c>
      <c r="W26" s="54">
        <v>0.78</v>
      </c>
    </row>
    <row r="27" spans="1:23" x14ac:dyDescent="0.3">
      <c r="J27" s="67"/>
    </row>
    <row r="28" spans="1:23" ht="62.4" x14ac:dyDescent="0.3">
      <c r="A28" s="92" t="s">
        <v>42</v>
      </c>
      <c r="B28" s="92"/>
      <c r="C28" s="33"/>
      <c r="D28" s="32" t="s">
        <v>43</v>
      </c>
      <c r="F28" s="78" t="s">
        <v>44</v>
      </c>
      <c r="G28" s="68" t="s">
        <v>45</v>
      </c>
      <c r="H28" s="68" t="s">
        <v>46</v>
      </c>
      <c r="I28" s="68" t="s">
        <v>47</v>
      </c>
      <c r="J28" s="67"/>
      <c r="K28" s="69" t="s">
        <v>48</v>
      </c>
      <c r="L28" s="70" t="s">
        <v>49</v>
      </c>
      <c r="M28" s="71" t="s">
        <v>50</v>
      </c>
      <c r="N28" s="71" t="s">
        <v>51</v>
      </c>
      <c r="O28" s="71" t="s">
        <v>52</v>
      </c>
      <c r="P28" s="71" t="s">
        <v>53</v>
      </c>
      <c r="Q28" s="12" t="s">
        <v>12</v>
      </c>
      <c r="R28" s="51" t="s">
        <v>4</v>
      </c>
    </row>
    <row r="29" spans="1:23" ht="9.75" customHeight="1" x14ac:dyDescent="0.3">
      <c r="A29" s="43"/>
      <c r="B29" s="43"/>
      <c r="C29" s="33"/>
      <c r="D29" s="33"/>
      <c r="F29" s="20"/>
      <c r="G29" s="20"/>
      <c r="H29" s="20"/>
      <c r="I29" s="20"/>
      <c r="J29" s="67"/>
      <c r="O29" s="56"/>
      <c r="P29" s="42"/>
      <c r="Q29" s="3"/>
      <c r="R29" s="3"/>
    </row>
    <row r="30" spans="1:23" ht="30" customHeight="1" x14ac:dyDescent="0.3">
      <c r="A30" s="89" t="s">
        <v>66</v>
      </c>
      <c r="B30" s="89"/>
      <c r="C30" s="36"/>
      <c r="D30" s="74">
        <v>5.8</v>
      </c>
      <c r="E30" s="37"/>
      <c r="F30" s="26">
        <f>($D30*$B$7/1000*$B$23*$B$6*($B$5-$B$10-$B$4)*$B$24*$B$25*Q30)/3600000/$B$12*$B$8*$B$9</f>
        <v>1133.0581112525251</v>
      </c>
      <c r="G30" s="65">
        <f>F30*1000/$B$19</f>
        <v>94421.50927104376</v>
      </c>
      <c r="H30" s="66">
        <f>F30/$B$18*100</f>
        <v>7553.7207416834999</v>
      </c>
      <c r="I30" s="67">
        <f>H30/$B$20</f>
        <v>2.3664538664421992</v>
      </c>
      <c r="J30" s="67"/>
      <c r="K30" s="53">
        <f>F30*$B$26</f>
        <v>419.2315011634343</v>
      </c>
      <c r="L30" s="72">
        <f>$B$34/K30</f>
        <v>4.8898997196320479</v>
      </c>
      <c r="M30" s="84">
        <f>$B$34/N30</f>
        <v>6.030876320879526E-2</v>
      </c>
      <c r="N30" s="35">
        <f>F30*$B$11</f>
        <v>33991.743337575754</v>
      </c>
      <c r="O30" s="79">
        <f>N30*$B$26</f>
        <v>12576.945034903028</v>
      </c>
      <c r="P30" s="80">
        <f>POWER(O30/$B$34,1/$B$11)-1-$B$16</f>
        <v>6.0333091921852766E-2</v>
      </c>
      <c r="Q30" s="13">
        <v>0.45300000000000001</v>
      </c>
      <c r="R30" s="4" t="s">
        <v>5</v>
      </c>
    </row>
    <row r="31" spans="1:23" ht="20.100000000000001" customHeight="1" x14ac:dyDescent="0.3">
      <c r="A31" s="85" t="s">
        <v>54</v>
      </c>
      <c r="B31" s="86">
        <f>$B$21-($B$21*$B$13)</f>
        <v>2770</v>
      </c>
      <c r="C31" s="36"/>
      <c r="D31" s="74">
        <v>9.1999999999999993</v>
      </c>
      <c r="F31" s="26">
        <f>($D31*$B$7/1000*$B$23*$B$6*($B$5-$B$10-$B$4)*$B$24*$B$25*Q31)/3600000/$B$12*$B$8*$B$9</f>
        <v>1618.7283726868682</v>
      </c>
      <c r="G31" s="65">
        <f t="shared" ref="G31:G34" si="0">F31*1000/$B$19</f>
        <v>134894.03105723902</v>
      </c>
      <c r="H31" s="66">
        <f t="shared" ref="H31:H40" si="1">F31/$B$18*100</f>
        <v>10791.522484579122</v>
      </c>
      <c r="I31" s="67">
        <f t="shared" ref="I31:I40" si="2">H31/$B$20</f>
        <v>3.380802783389449</v>
      </c>
      <c r="J31" s="67"/>
      <c r="K31" s="53">
        <f>F31*$B$26</f>
        <v>598.92949789414126</v>
      </c>
      <c r="L31" s="72">
        <f>$B$34/K31</f>
        <v>3.4227734770250544</v>
      </c>
      <c r="M31" s="84">
        <f>$B$34/N31</f>
        <v>4.2214206216642347E-2</v>
      </c>
      <c r="N31" s="35">
        <f>F31*$B$11</f>
        <v>48561.851180606041</v>
      </c>
      <c r="O31" s="79">
        <f>N31*$B$26</f>
        <v>17967.884936824234</v>
      </c>
      <c r="P31" s="80">
        <f>POWER(O31/$B$34,1/$B$11)-1-$B$16</f>
        <v>7.3040361763599737E-2</v>
      </c>
      <c r="Q31" s="13">
        <v>0.40799999999999997</v>
      </c>
      <c r="R31" s="4" t="s">
        <v>5</v>
      </c>
    </row>
    <row r="32" spans="1:23" ht="20.100000000000001" customHeight="1" x14ac:dyDescent="0.3">
      <c r="A32" s="85" t="s">
        <v>55</v>
      </c>
      <c r="B32" s="86">
        <f>$B$14-$B$15</f>
        <v>80</v>
      </c>
      <c r="C32" s="36"/>
      <c r="D32" s="74">
        <v>12.5</v>
      </c>
      <c r="F32" s="26">
        <f>($D32*$B$7/1000*$B$23*$B$6*($B$5-$B$10-$B$4)*$B$24*$B$25*Q32)/3600000/$B$12*$B$8*$B$9</f>
        <v>1981.0404577020201</v>
      </c>
      <c r="G32" s="65">
        <f t="shared" si="0"/>
        <v>165086.70480850167</v>
      </c>
      <c r="H32" s="66">
        <f t="shared" si="1"/>
        <v>13206.936384680133</v>
      </c>
      <c r="I32" s="67">
        <f t="shared" si="2"/>
        <v>4.1375113987093153</v>
      </c>
      <c r="J32" s="67"/>
      <c r="K32" s="53">
        <f>F32*$B$26</f>
        <v>732.98496934974742</v>
      </c>
      <c r="L32" s="72">
        <f>$B$34/K32</f>
        <v>2.7967831343371414</v>
      </c>
      <c r="M32" s="84">
        <f>$B$34/N32</f>
        <v>3.4493658656824737E-2</v>
      </c>
      <c r="N32" s="35">
        <f>F32*$B$11</f>
        <v>59431.213731060605</v>
      </c>
      <c r="O32" s="79">
        <f>N32*$B$26</f>
        <v>21989.549080492423</v>
      </c>
      <c r="P32" s="80">
        <f>POWER(O32/$B$34,1/$B$11)-1-$B$16</f>
        <v>8.0302717152742398E-2</v>
      </c>
      <c r="Q32" s="13">
        <v>0.36749999999999999</v>
      </c>
      <c r="R32" s="4" t="s">
        <v>5</v>
      </c>
    </row>
    <row r="33" spans="1:18" ht="20.100000000000001" customHeight="1" x14ac:dyDescent="0.3">
      <c r="A33" s="85" t="s">
        <v>56</v>
      </c>
      <c r="B33" s="86">
        <f>$B$17</f>
        <v>800</v>
      </c>
      <c r="C33" s="36"/>
      <c r="D33" s="74">
        <v>18</v>
      </c>
      <c r="F33" s="26">
        <f>($D33*$B$7/1000*$B$23*$B$6*($B$5-$B$10-$B$4)*$B$24*$B$25*Q33)/3600000/$B$12*$B$8*$B$9</f>
        <v>2383.0703824242423</v>
      </c>
      <c r="G33" s="65">
        <f t="shared" si="0"/>
        <v>198589.19853535353</v>
      </c>
      <c r="H33" s="66">
        <f t="shared" si="1"/>
        <v>15887.135882828281</v>
      </c>
      <c r="I33" s="67">
        <f t="shared" si="2"/>
        <v>4.9771728956228953</v>
      </c>
      <c r="J33" s="67"/>
      <c r="K33" s="53">
        <f>F33*$B$26</f>
        <v>881.73604149696962</v>
      </c>
      <c r="L33" s="72">
        <f>$B$34/K33</f>
        <v>2.3249588352083319</v>
      </c>
      <c r="M33" s="84">
        <f>$B$34/N33</f>
        <v>2.8674492300902764E-2</v>
      </c>
      <c r="N33" s="35">
        <f>F33*$B$11</f>
        <v>71492.111472727265</v>
      </c>
      <c r="O33" s="79">
        <f>N33*$B$26</f>
        <v>26452.081244909088</v>
      </c>
      <c r="P33" s="80">
        <f>POWER(O33/$B$34,1/$B$11)-1-$B$16</f>
        <v>8.6989100236908534E-2</v>
      </c>
      <c r="Q33" s="13">
        <v>0.307</v>
      </c>
      <c r="R33" s="4" t="s">
        <v>5</v>
      </c>
    </row>
    <row r="34" spans="1:18" ht="20.100000000000001" customHeight="1" x14ac:dyDescent="0.3">
      <c r="A34" s="87" t="s">
        <v>64</v>
      </c>
      <c r="B34" s="88">
        <f>B31+B32-B33</f>
        <v>2050</v>
      </c>
      <c r="C34" s="36"/>
      <c r="D34" s="74">
        <v>24</v>
      </c>
      <c r="E34" s="29"/>
      <c r="F34" s="26">
        <f>($D34*$B$7/1000*$B$23*$B$6*($B$5-$B$10-$B$4)*$B$24*$B$25*Q34)/3600000/$B$12*$B$8*$B$9</f>
        <v>2608.1812654545456</v>
      </c>
      <c r="G34" s="65">
        <f t="shared" si="0"/>
        <v>217348.43878787881</v>
      </c>
      <c r="H34" s="66">
        <f t="shared" si="1"/>
        <v>17387.875103030306</v>
      </c>
      <c r="I34" s="67">
        <f t="shared" si="2"/>
        <v>5.447329292929294</v>
      </c>
      <c r="J34" s="67"/>
      <c r="K34" s="53">
        <f>F34*$B$26</f>
        <v>965.02706821818185</v>
      </c>
      <c r="L34" s="72">
        <f>$B$34/K34</f>
        <v>2.1242927452647553</v>
      </c>
      <c r="M34" s="84">
        <f>$B$34/N34</f>
        <v>2.6199610524931981E-2</v>
      </c>
      <c r="N34" s="35">
        <f>F34*$B$11</f>
        <v>78245.437963636374</v>
      </c>
      <c r="O34" s="79">
        <f>N34*$B$26</f>
        <v>28950.812046545459</v>
      </c>
      <c r="P34" s="80">
        <f>POWER(O34/$B$34,1/$B$11)-1-$B$16</f>
        <v>9.0270563436739559E-2</v>
      </c>
      <c r="Q34" s="13">
        <v>0.252</v>
      </c>
      <c r="R34" s="4" t="s">
        <v>5</v>
      </c>
    </row>
    <row r="35" spans="1:18" ht="9.75" customHeight="1" x14ac:dyDescent="0.3">
      <c r="A35" s="30"/>
      <c r="B35" s="29"/>
      <c r="C35" s="36"/>
      <c r="D35" s="41"/>
      <c r="E35" s="29"/>
      <c r="F35" s="28"/>
      <c r="G35" s="28"/>
      <c r="H35" s="28"/>
      <c r="I35" s="28"/>
      <c r="J35" s="67"/>
      <c r="K35" s="28"/>
      <c r="L35" s="72"/>
      <c r="M35" s="40"/>
      <c r="N35" s="39"/>
      <c r="O35" s="81"/>
      <c r="P35" s="82"/>
      <c r="Q35" s="14"/>
      <c r="R35" s="3"/>
    </row>
    <row r="36" spans="1:18" ht="30" customHeight="1" x14ac:dyDescent="0.3">
      <c r="A36" s="90" t="s">
        <v>67</v>
      </c>
      <c r="B36" s="90"/>
      <c r="C36" s="36"/>
      <c r="D36" s="73">
        <v>5.8</v>
      </c>
      <c r="E36" s="37"/>
      <c r="F36" s="26">
        <f>($D36*$B$7/1000*$B$23*$B$6*($B$5-$B$10-$B$4)*$B$24*$B$25*Q36)/3600000/$B$12*$B$8*$B$9</f>
        <v>1315.6480497104374</v>
      </c>
      <c r="G36" s="65">
        <f>F36*1000/$B$19</f>
        <v>109637.33747586979</v>
      </c>
      <c r="H36" s="66">
        <f t="shared" si="1"/>
        <v>8770.9869980695821</v>
      </c>
      <c r="I36" s="67">
        <f t="shared" si="2"/>
        <v>2.7478029442573879</v>
      </c>
      <c r="J36" s="67"/>
      <c r="K36" s="53">
        <f>F36*$B$26</f>
        <v>486.78977839286182</v>
      </c>
      <c r="L36" s="72">
        <f>$B$40/K36</f>
        <v>4.6221184171705145</v>
      </c>
      <c r="M36" s="84">
        <f>$B$40/N36</f>
        <v>5.7006127145103017E-2</v>
      </c>
      <c r="N36" s="35">
        <f>F36*$B$11</f>
        <v>39469.441491313119</v>
      </c>
      <c r="O36" s="79">
        <f>N36*$B$26</f>
        <v>14603.693351785854</v>
      </c>
      <c r="P36" s="80">
        <f>POWER(O36/$B$40,1/$B$11)-1-$B$16</f>
        <v>6.2329271059996749E-2</v>
      </c>
      <c r="Q36" s="13">
        <v>0.52600000000000002</v>
      </c>
      <c r="R36" s="4" t="s">
        <v>5</v>
      </c>
    </row>
    <row r="37" spans="1:18" ht="20.100000000000001" customHeight="1" x14ac:dyDescent="0.3">
      <c r="A37" s="85" t="s">
        <v>54</v>
      </c>
      <c r="B37" s="86">
        <f>$B$22-($B$22*$B$13)</f>
        <v>2970</v>
      </c>
      <c r="C37" s="36"/>
      <c r="D37" s="73">
        <v>9.1999999999999993</v>
      </c>
      <c r="F37" s="26">
        <f>($D37*$B$7/1000*$B$23*$B$6*($B$5-$B$10-$B$4)*$B$24*$B$25*Q37)/3600000/$B$12*$B$8*$B$9</f>
        <v>1948.0285073265986</v>
      </c>
      <c r="G37" s="65">
        <f t="shared" ref="G37:G40" si="3">F37*1000/$B$19</f>
        <v>162335.70894388322</v>
      </c>
      <c r="H37" s="66">
        <f t="shared" si="1"/>
        <v>12986.856715510658</v>
      </c>
      <c r="I37" s="67">
        <f t="shared" si="2"/>
        <v>4.0685641339319103</v>
      </c>
      <c r="J37" s="67"/>
      <c r="K37" s="53">
        <f>F37*$B$26</f>
        <v>720.77054771084147</v>
      </c>
      <c r="L37" s="72">
        <f>$B$40/K37</f>
        <v>3.1216591842521488</v>
      </c>
      <c r="M37" s="84">
        <f>$B$40/N37</f>
        <v>3.8500463272443171E-2</v>
      </c>
      <c r="N37" s="35">
        <f>F37*$B$11</f>
        <v>58440.855219797959</v>
      </c>
      <c r="O37" s="79">
        <f>N37*$B$26</f>
        <v>21623.116431325245</v>
      </c>
      <c r="P37" s="80">
        <f>POWER(O37/$B$40,1/$B$11)-1-$B$16</f>
        <v>7.6345322770930535E-2</v>
      </c>
      <c r="Q37" s="13">
        <v>0.49099999999999999</v>
      </c>
      <c r="R37" s="4" t="s">
        <v>5</v>
      </c>
    </row>
    <row r="38" spans="1:18" ht="20.100000000000001" customHeight="1" x14ac:dyDescent="0.3">
      <c r="A38" s="85" t="s">
        <v>55</v>
      </c>
      <c r="B38" s="86">
        <f>$B$14-$B$15</f>
        <v>80</v>
      </c>
      <c r="C38" s="36"/>
      <c r="D38" s="73">
        <v>12.5</v>
      </c>
      <c r="F38" s="26">
        <f>($D38*$B$7/1000*$B$23*$B$6*($B$5-$B$10-$B$4)*$B$24*$B$25*Q38)/3600000/$B$12*$B$8*$B$9</f>
        <v>2447.3261708754208</v>
      </c>
      <c r="G38" s="65">
        <f t="shared" si="3"/>
        <v>203943.84757295172</v>
      </c>
      <c r="H38" s="66">
        <f t="shared" si="1"/>
        <v>16315.50780583614</v>
      </c>
      <c r="I38" s="67">
        <f t="shared" si="2"/>
        <v>5.1113746258885149</v>
      </c>
      <c r="J38" s="67"/>
      <c r="K38" s="53">
        <f>F38*$B$26</f>
        <v>905.51068322390563</v>
      </c>
      <c r="L38" s="72">
        <f>$B$40/K38</f>
        <v>2.4847857034544147</v>
      </c>
      <c r="M38" s="84">
        <f>$B$40/N38</f>
        <v>3.0645690342604448E-2</v>
      </c>
      <c r="N38" s="35">
        <f>F38*$B$11</f>
        <v>73419.785126262621</v>
      </c>
      <c r="O38" s="79">
        <f>N38*$B$26</f>
        <v>27165.32049671717</v>
      </c>
      <c r="P38" s="80">
        <f>POWER(O38/$B$40,1/$B$11)-1-$B$16</f>
        <v>8.4578424243014094E-2</v>
      </c>
      <c r="Q38" s="13">
        <v>0.45400000000000001</v>
      </c>
      <c r="R38" s="4" t="s">
        <v>5</v>
      </c>
    </row>
    <row r="39" spans="1:18" ht="20.100000000000001" customHeight="1" x14ac:dyDescent="0.3">
      <c r="A39" s="85" t="s">
        <v>56</v>
      </c>
      <c r="B39" s="86">
        <f>$B$17</f>
        <v>800</v>
      </c>
      <c r="C39" s="36"/>
      <c r="D39" s="73">
        <v>18</v>
      </c>
      <c r="F39" s="26">
        <f>($D39*$B$7/1000*$B$23*$B$6*($B$5-$B$10-$B$4)*$B$24*$B$25*Q39)/3600000/$B$12*$B$8*$B$9</f>
        <v>3019.5908103030306</v>
      </c>
      <c r="G39" s="65">
        <f t="shared" si="3"/>
        <v>251632.56752525255</v>
      </c>
      <c r="H39" s="66">
        <f t="shared" si="1"/>
        <v>20130.605402020203</v>
      </c>
      <c r="I39" s="67">
        <f t="shared" si="2"/>
        <v>6.3065806397306403</v>
      </c>
      <c r="J39" s="67"/>
      <c r="K39" s="53">
        <f>F39*$B$26</f>
        <v>1117.2485998121213</v>
      </c>
      <c r="L39" s="72">
        <f>$B$40/K39</f>
        <v>2.0138758736223652</v>
      </c>
      <c r="M39" s="84">
        <f>$B$40/N39</f>
        <v>2.4837802441342503E-2</v>
      </c>
      <c r="N39" s="35">
        <f>F39*$B$11</f>
        <v>90587.724309090918</v>
      </c>
      <c r="O39" s="79">
        <f>N39*$B$26</f>
        <v>33517.457994363642</v>
      </c>
      <c r="P39" s="80">
        <f>POWER(O39/$B$40,1/$B$11)-1-$B$16</f>
        <v>9.2215725284429562E-2</v>
      </c>
      <c r="Q39" s="13">
        <v>0.38900000000000001</v>
      </c>
      <c r="R39" s="4" t="s">
        <v>5</v>
      </c>
    </row>
    <row r="40" spans="1:18" ht="20.100000000000001" customHeight="1" x14ac:dyDescent="0.3">
      <c r="A40" s="87" t="s">
        <v>65</v>
      </c>
      <c r="B40" s="88">
        <f>B37+B38-B39</f>
        <v>2250</v>
      </c>
      <c r="C40" s="36"/>
      <c r="D40" s="73">
        <v>24</v>
      </c>
      <c r="F40" s="26">
        <f>($D40*$B$7/1000*$B$23*$B$6*($B$5-$B$10-$B$4)*$B$24*$B$25*Q40)/3600000/$B$12*$B$8*$B$9</f>
        <v>3343.0259870707073</v>
      </c>
      <c r="G40" s="65">
        <f t="shared" si="3"/>
        <v>278585.49892255891</v>
      </c>
      <c r="H40" s="66">
        <f t="shared" si="1"/>
        <v>22286.839913804717</v>
      </c>
      <c r="I40" s="67">
        <f t="shared" si="2"/>
        <v>6.9820927048260391</v>
      </c>
      <c r="J40" s="67"/>
      <c r="K40" s="53">
        <f>F40*$B$26</f>
        <v>1236.9196152161617</v>
      </c>
      <c r="L40" s="72">
        <f>$B$40/K40</f>
        <v>1.8190349415768576</v>
      </c>
      <c r="M40" s="84">
        <f>$B$40/N40</f>
        <v>2.2434764279447912E-2</v>
      </c>
      <c r="N40" s="35">
        <f>F40*$B$11</f>
        <v>100290.77961212122</v>
      </c>
      <c r="O40" s="79">
        <f>N40*$B$26</f>
        <v>37107.588456484853</v>
      </c>
      <c r="P40" s="80">
        <f>POWER(O40/$B$40,1/$B$11)-1-$B$16</f>
        <v>9.5933425903452774E-2</v>
      </c>
      <c r="Q40" s="13">
        <v>0.32300000000000001</v>
      </c>
      <c r="R40" s="4" t="s">
        <v>5</v>
      </c>
    </row>
    <row r="41" spans="1:18" ht="20.100000000000001" customHeight="1" x14ac:dyDescent="0.3">
      <c r="A41" s="34"/>
      <c r="J41" s="67"/>
      <c r="Q41" s="3"/>
      <c r="R41" s="3"/>
    </row>
    <row r="42" spans="1:18" ht="62.4" x14ac:dyDescent="0.3">
      <c r="A42" s="92" t="s">
        <v>59</v>
      </c>
      <c r="B42" s="92"/>
      <c r="C42" s="33"/>
      <c r="D42" s="32" t="s">
        <v>43</v>
      </c>
      <c r="F42" s="78" t="s">
        <v>44</v>
      </c>
      <c r="G42" s="68" t="s">
        <v>45</v>
      </c>
      <c r="H42" s="68" t="s">
        <v>46</v>
      </c>
      <c r="I42" s="68" t="s">
        <v>47</v>
      </c>
      <c r="J42" s="67"/>
      <c r="K42" s="69" t="s">
        <v>48</v>
      </c>
      <c r="L42" s="70" t="s">
        <v>49</v>
      </c>
      <c r="M42" s="71" t="s">
        <v>50</v>
      </c>
      <c r="N42" s="71" t="s">
        <v>51</v>
      </c>
      <c r="O42" s="71" t="s">
        <v>52</v>
      </c>
      <c r="P42" s="71" t="s">
        <v>53</v>
      </c>
      <c r="Q42" s="12" t="s">
        <v>10</v>
      </c>
      <c r="R42" s="50" t="s">
        <v>4</v>
      </c>
    </row>
    <row r="43" spans="1:18" ht="9.75" customHeight="1" x14ac:dyDescent="0.3">
      <c r="F43" s="15"/>
      <c r="G43" s="20"/>
      <c r="H43" s="20"/>
      <c r="I43" s="20"/>
      <c r="J43" s="67"/>
      <c r="K43" s="16"/>
      <c r="O43" s="57"/>
      <c r="P43" s="31"/>
      <c r="Q43" s="3"/>
      <c r="R43" s="3"/>
    </row>
    <row r="44" spans="1:18" ht="30" customHeight="1" x14ac:dyDescent="0.3">
      <c r="A44" s="89" t="s">
        <v>66</v>
      </c>
      <c r="B44" s="89"/>
      <c r="D44" s="74">
        <v>5.8</v>
      </c>
      <c r="F44" s="26">
        <f>($D44*$B$7/1000*$B$23*$B$6*($B$5-$B$10-$B$4)*$B$24*$B$25*Q44)/3600000/$B$12*$B$8*$B$9</f>
        <v>1313.1468176767673</v>
      </c>
      <c r="G44" s="65">
        <f>F44*1000/$B$19</f>
        <v>109428.90147306393</v>
      </c>
      <c r="H44" s="66">
        <f>F44/$B$18*100</f>
        <v>8754.3121178451165</v>
      </c>
      <c r="I44" s="67">
        <f>H44/$B$20</f>
        <v>2.7425789842873174</v>
      </c>
      <c r="J44" s="67"/>
      <c r="K44" s="53">
        <f>F44*$B$26</f>
        <v>485.86432254040392</v>
      </c>
      <c r="L44" s="72">
        <f>$B$48/K44</f>
        <v>4.2192849009396536</v>
      </c>
      <c r="M44" s="84">
        <f>$B$48/N44</f>
        <v>5.2037847111589056E-2</v>
      </c>
      <c r="N44" s="25">
        <f>F44*$B$11</f>
        <v>39394.404530303022</v>
      </c>
      <c r="O44" s="79">
        <f>N44*$B$26</f>
        <v>14575.929676212118</v>
      </c>
      <c r="P44" s="80">
        <f>POWER(O44/$B$48,1/$B$11)-1-$B$16</f>
        <v>6.5569309299830847E-2</v>
      </c>
      <c r="Q44" s="13">
        <v>0.52500000000000002</v>
      </c>
      <c r="R44" s="4" t="s">
        <v>5</v>
      </c>
    </row>
    <row r="45" spans="1:18" ht="20.100000000000001" customHeight="1" x14ac:dyDescent="0.3">
      <c r="A45" s="85" t="s">
        <v>54</v>
      </c>
      <c r="B45" s="86">
        <f>$B$21-($B$21*$B$13)</f>
        <v>2770</v>
      </c>
      <c r="D45" s="74">
        <v>9.1999999999999993</v>
      </c>
      <c r="F45" s="26">
        <f>($D45*$B$7/1000*$B$23*$B$6*($B$5-$B$10-$B$4)*$B$24*$B$25*Q45)/3600000/$B$12*$B$8*$B$9</f>
        <v>1880.5814917979787</v>
      </c>
      <c r="G45" s="65">
        <f t="shared" ref="G45:G48" si="4">F45*1000/$B$19</f>
        <v>156715.12431649823</v>
      </c>
      <c r="H45" s="66">
        <f t="shared" ref="H45:H48" si="5">F45/$B$18*100</f>
        <v>12537.209945319859</v>
      </c>
      <c r="I45" s="67">
        <f t="shared" ref="I45:I54" si="6">H45/$B$20</f>
        <v>3.9276973512906825</v>
      </c>
      <c r="J45" s="67"/>
      <c r="K45" s="53">
        <f>F45*$B$26</f>
        <v>695.81515196525208</v>
      </c>
      <c r="L45" s="72">
        <f>$B$48/K45</f>
        <v>2.9461847650342254</v>
      </c>
      <c r="M45" s="84">
        <f>$B$48/N45</f>
        <v>3.6336278768755448E-2</v>
      </c>
      <c r="N45" s="25">
        <f>F45*$B$11</f>
        <v>56417.444753939359</v>
      </c>
      <c r="O45" s="79">
        <f>N45*$B$26</f>
        <v>20874.454558957561</v>
      </c>
      <c r="P45" s="80">
        <f>POWER(O45/$B$48,1/$B$11)-1-$B$16</f>
        <v>7.842686845031932E-2</v>
      </c>
      <c r="Q45" s="13">
        <v>0.47399999999999998</v>
      </c>
      <c r="R45" s="4" t="s">
        <v>5</v>
      </c>
    </row>
    <row r="46" spans="1:18" ht="20.100000000000001" customHeight="1" x14ac:dyDescent="0.3">
      <c r="A46" s="85" t="s">
        <v>55</v>
      </c>
      <c r="B46" s="86">
        <f>$B$14-$B$15</f>
        <v>80</v>
      </c>
      <c r="D46" s="74">
        <v>12.5</v>
      </c>
      <c r="F46" s="26">
        <f>($D46*$B$7/1000*$B$23*$B$6*($B$5-$B$10-$B$4)*$B$24*$B$25*Q46)/3600000/$B$12*$B$8*$B$9</f>
        <v>2307.1709276094275</v>
      </c>
      <c r="G46" s="65">
        <f t="shared" si="4"/>
        <v>192264.24396745229</v>
      </c>
      <c r="H46" s="66">
        <f t="shared" si="5"/>
        <v>15381.139517396185</v>
      </c>
      <c r="I46" s="67">
        <f t="shared" si="6"/>
        <v>4.8186527310138425</v>
      </c>
      <c r="J46" s="67"/>
      <c r="K46" s="53">
        <f>F46*$B$26</f>
        <v>853.65324321548815</v>
      </c>
      <c r="L46" s="72">
        <f>$B$48/K46</f>
        <v>2.4014434623105125</v>
      </c>
      <c r="M46" s="84">
        <f>$B$48/N46</f>
        <v>2.9617802701829656E-2</v>
      </c>
      <c r="N46" s="25">
        <f>F46*$B$11</f>
        <v>69215.127828282828</v>
      </c>
      <c r="O46" s="79">
        <f>N46*$B$26</f>
        <v>25609.597296464646</v>
      </c>
      <c r="P46" s="80">
        <f>POWER(O46/$B$48,1/$B$11)-1-$B$16</f>
        <v>8.5814799339427816E-2</v>
      </c>
      <c r="Q46" s="13">
        <v>0.42799999999999999</v>
      </c>
      <c r="R46" s="4" t="s">
        <v>5</v>
      </c>
    </row>
    <row r="47" spans="1:18" ht="20.100000000000001" customHeight="1" x14ac:dyDescent="0.3">
      <c r="A47" s="85" t="s">
        <v>56</v>
      </c>
      <c r="B47" s="86">
        <f>$B$17</f>
        <v>800</v>
      </c>
      <c r="D47" s="74">
        <v>18</v>
      </c>
      <c r="F47" s="26">
        <f>($D47*$B$7/1000*$B$23*$B$6*($B$5-$B$10-$B$4)*$B$24*$B$25*Q47)/3600000/$B$12*$B$8*$B$9</f>
        <v>2817.7672600000001</v>
      </c>
      <c r="G47" s="65">
        <f t="shared" si="4"/>
        <v>234813.93833333335</v>
      </c>
      <c r="H47" s="66">
        <f t="shared" si="5"/>
        <v>18785.115066666669</v>
      </c>
      <c r="I47" s="67">
        <f t="shared" si="6"/>
        <v>5.8850611111111117</v>
      </c>
      <c r="J47" s="67"/>
      <c r="K47" s="53">
        <f>F47*$B$26</f>
        <v>1042.5738862000001</v>
      </c>
      <c r="L47" s="72">
        <f>$B$48/K47</f>
        <v>1.966287499749195</v>
      </c>
      <c r="M47" s="84">
        <f>$B$48/N47</f>
        <v>2.4250879163573408E-2</v>
      </c>
      <c r="N47" s="25">
        <f>F47*$B$11</f>
        <v>84533.017800000001</v>
      </c>
      <c r="O47" s="79">
        <f>N47*$B$26</f>
        <v>31277.216585999999</v>
      </c>
      <c r="P47" s="80">
        <f>POWER(O47/$B$48,1/$B$11)-1-$B$16</f>
        <v>9.308830569967852E-2</v>
      </c>
      <c r="Q47" s="13">
        <v>0.36299999999999999</v>
      </c>
      <c r="R47" s="4" t="s">
        <v>5</v>
      </c>
    </row>
    <row r="48" spans="1:18" ht="20.100000000000001" customHeight="1" x14ac:dyDescent="0.3">
      <c r="A48" s="87" t="s">
        <v>64</v>
      </c>
      <c r="B48" s="88">
        <f>B45+B46-B47</f>
        <v>2050</v>
      </c>
      <c r="D48" s="74">
        <v>24</v>
      </c>
      <c r="F48" s="26">
        <f>($D48*$B$7/1000*$B$23*$B$6*($B$5-$B$10-$B$4)*$B$24*$B$25*Q48)/3600000/$B$12*$B$8*$B$9</f>
        <v>3187.7771022222214</v>
      </c>
      <c r="G48" s="65">
        <f t="shared" si="4"/>
        <v>265648.09185185179</v>
      </c>
      <c r="H48" s="66">
        <f t="shared" si="5"/>
        <v>21251.847348148145</v>
      </c>
      <c r="I48" s="67">
        <f t="shared" si="6"/>
        <v>6.6578469135802463</v>
      </c>
      <c r="J48" s="67"/>
      <c r="K48" s="53">
        <f>F48*$B$26</f>
        <v>1179.4775278222219</v>
      </c>
      <c r="L48" s="72">
        <f>$B$48/K48</f>
        <v>1.7380577006711642</v>
      </c>
      <c r="M48" s="84">
        <f>$B$48/N48</f>
        <v>2.1436044974944359E-2</v>
      </c>
      <c r="N48" s="25">
        <f>F48*$B$11</f>
        <v>95633.31306666664</v>
      </c>
      <c r="O48" s="79">
        <f>N48*$B$26</f>
        <v>35384.325834666655</v>
      </c>
      <c r="P48" s="80">
        <f>POWER(O48/$B$48,1/$B$11)-1-$B$16</f>
        <v>9.7601276879567989E-2</v>
      </c>
      <c r="Q48" s="13">
        <v>0.308</v>
      </c>
      <c r="R48" s="4" t="s">
        <v>6</v>
      </c>
    </row>
    <row r="49" spans="1:18" ht="9.75" customHeight="1" x14ac:dyDescent="0.3">
      <c r="A49" s="30"/>
      <c r="B49" s="29"/>
      <c r="F49" s="28"/>
      <c r="G49" s="28"/>
      <c r="H49" s="28"/>
      <c r="I49" s="28"/>
      <c r="J49" s="28"/>
      <c r="K49" s="24"/>
      <c r="L49" s="72"/>
      <c r="M49" s="27"/>
      <c r="O49" s="81"/>
      <c r="P49" s="83"/>
      <c r="Q49" s="17"/>
      <c r="R49" s="3"/>
    </row>
    <row r="50" spans="1:18" ht="30" customHeight="1" x14ac:dyDescent="0.3">
      <c r="A50" s="90" t="s">
        <v>67</v>
      </c>
      <c r="B50" s="90"/>
      <c r="D50" s="73">
        <v>5.8</v>
      </c>
      <c r="F50" s="26">
        <f>($D50*$B$7/1000*$B$23*$B$6*($B$5-$B$10-$B$4)*$B$24*$B$25*Q50)/3600000/$B$12*$B$8*$B$9</f>
        <v>1525.7515405387203</v>
      </c>
      <c r="G50" s="65">
        <f>F50*1000/$B$19</f>
        <v>127145.96171156003</v>
      </c>
      <c r="H50" s="66">
        <f t="shared" ref="H50:H54" si="7">F50/$B$18*100</f>
        <v>10171.676936924801</v>
      </c>
      <c r="I50" s="67">
        <f t="shared" si="6"/>
        <v>3.186615581743359</v>
      </c>
      <c r="J50" s="67"/>
      <c r="K50" s="53">
        <f>F50*$B$26</f>
        <v>564.52806999932648</v>
      </c>
      <c r="L50" s="72">
        <f>$B$54/K50</f>
        <v>3.9856299793962138</v>
      </c>
      <c r="M50" s="84">
        <f>$B$54/N50</f>
        <v>4.915610307921997E-2</v>
      </c>
      <c r="N50" s="25">
        <f>F50*$B$11</f>
        <v>45772.546216161609</v>
      </c>
      <c r="O50" s="79">
        <f>N50*$B$26</f>
        <v>16935.842099979796</v>
      </c>
      <c r="P50" s="80">
        <f>POWER(O50/$B$54,1/$B$11)-1-$B$16</f>
        <v>6.7598559252222579E-2</v>
      </c>
      <c r="Q50" s="13">
        <v>0.61</v>
      </c>
      <c r="R50" s="4" t="s">
        <v>5</v>
      </c>
    </row>
    <row r="51" spans="1:18" ht="20.100000000000001" customHeight="1" x14ac:dyDescent="0.3">
      <c r="A51" s="85" t="s">
        <v>54</v>
      </c>
      <c r="B51" s="86">
        <f>$B$22-($B$22*$B$13)</f>
        <v>2970</v>
      </c>
      <c r="D51" s="73">
        <v>9.1999999999999993</v>
      </c>
      <c r="F51" s="26">
        <f>($D51*$B$7/1000*$B$23*$B$6*($B$5-$B$10-$B$4)*$B$24*$B$25*Q51)/3600000/$B$12*$B$8*$B$9</f>
        <v>2261.4587559595948</v>
      </c>
      <c r="G51" s="65">
        <f t="shared" ref="G51:G54" si="8">F51*1000/$B$19</f>
        <v>188454.89632996623</v>
      </c>
      <c r="H51" s="66">
        <f t="shared" si="7"/>
        <v>15076.3917063973</v>
      </c>
      <c r="I51" s="67">
        <f t="shared" si="6"/>
        <v>4.7231803591470243</v>
      </c>
      <c r="J51" s="67"/>
      <c r="K51" s="53">
        <f>F51*$B$26</f>
        <v>836.73973970505006</v>
      </c>
      <c r="L51" s="72">
        <f>$B$54/K51</f>
        <v>2.6890081745049219</v>
      </c>
      <c r="M51" s="84">
        <f>$B$54/N51</f>
        <v>3.3164434152227369E-2</v>
      </c>
      <c r="N51" s="25">
        <f>F51*$B$11</f>
        <v>67843.76267878784</v>
      </c>
      <c r="O51" s="79">
        <f>N51*$B$26</f>
        <v>25102.192191151502</v>
      </c>
      <c r="P51" s="80">
        <f>POWER(O51/$B$54,1/$B$11)-1-$B$16</f>
        <v>8.1721370991320486E-2</v>
      </c>
      <c r="Q51" s="13">
        <v>0.56999999999999995</v>
      </c>
      <c r="R51" s="4" t="s">
        <v>5</v>
      </c>
    </row>
    <row r="52" spans="1:18" ht="20.100000000000001" customHeight="1" x14ac:dyDescent="0.3">
      <c r="A52" s="85" t="s">
        <v>55</v>
      </c>
      <c r="B52" s="86">
        <f>$B$14-$B$15</f>
        <v>80</v>
      </c>
      <c r="D52" s="73">
        <v>12.5</v>
      </c>
      <c r="F52" s="26">
        <f>($D52*$B$7/1000*$B$23*$B$6*($B$5-$B$10-$B$4)*$B$24*$B$25*Q52)/3600000/$B$12*$B$8*$B$9</f>
        <v>2857.0107281144778</v>
      </c>
      <c r="G52" s="65">
        <f t="shared" si="8"/>
        <v>238084.22734287314</v>
      </c>
      <c r="H52" s="66">
        <f t="shared" si="7"/>
        <v>19046.738187429852</v>
      </c>
      <c r="I52" s="67">
        <f t="shared" si="6"/>
        <v>5.9670232416760189</v>
      </c>
      <c r="J52" s="67"/>
      <c r="K52" s="53">
        <f>F52*$B$26</f>
        <v>1057.0939694023568</v>
      </c>
      <c r="L52" s="72">
        <f>$B$54/K52</f>
        <v>2.128476810128876</v>
      </c>
      <c r="M52" s="84">
        <f>$B$54/N52</f>
        <v>2.6251213991589473E-2</v>
      </c>
      <c r="N52" s="25">
        <f>F52*$B$11</f>
        <v>85710.321843434329</v>
      </c>
      <c r="O52" s="79">
        <f>N52*$B$26</f>
        <v>31712.819082070702</v>
      </c>
      <c r="P52" s="80">
        <f>POWER(O52/$B$54,1/$B$11)-1-$B$16</f>
        <v>9.0198924121415613E-2</v>
      </c>
      <c r="Q52" s="13">
        <v>0.53</v>
      </c>
      <c r="R52" s="4" t="s">
        <v>5</v>
      </c>
    </row>
    <row r="53" spans="1:18" ht="20.100000000000001" customHeight="1" x14ac:dyDescent="0.3">
      <c r="A53" s="85" t="s">
        <v>56</v>
      </c>
      <c r="B53" s="86">
        <f>$B$17</f>
        <v>800</v>
      </c>
      <c r="D53" s="73">
        <v>18</v>
      </c>
      <c r="F53" s="26">
        <f>($D53*$B$7/1000*$B$23*$B$6*($B$5-$B$10-$B$4)*$B$24*$B$25*Q53)/3600000/$B$12*$B$8*$B$9</f>
        <v>3570.7243515151513</v>
      </c>
      <c r="G53" s="65">
        <f t="shared" si="8"/>
        <v>297560.36262626259</v>
      </c>
      <c r="H53" s="66">
        <f t="shared" si="7"/>
        <v>23804.82901010101</v>
      </c>
      <c r="I53" s="67">
        <f t="shared" si="6"/>
        <v>7.4576531986531984</v>
      </c>
      <c r="J53" s="67"/>
      <c r="K53" s="53">
        <f>F53*$B$26</f>
        <v>1321.1680100606059</v>
      </c>
      <c r="L53" s="72">
        <f>$B$54/K53</f>
        <v>1.7030385105197832</v>
      </c>
      <c r="M53" s="84">
        <f>$B$54/N53</f>
        <v>2.100414162974399E-2</v>
      </c>
      <c r="N53" s="25">
        <f>F53*$B$11</f>
        <v>107121.73054545454</v>
      </c>
      <c r="O53" s="79">
        <f>N53*$B$26</f>
        <v>39635.040301818182</v>
      </c>
      <c r="P53" s="80">
        <f>POWER(O53/$B$54,1/$B$11)-1-$B$16</f>
        <v>9.834758057120041E-2</v>
      </c>
      <c r="Q53" s="13">
        <v>0.46</v>
      </c>
      <c r="R53" s="4" t="s">
        <v>5</v>
      </c>
    </row>
    <row r="54" spans="1:18" ht="20.100000000000001" customHeight="1" x14ac:dyDescent="0.3">
      <c r="A54" s="87" t="s">
        <v>65</v>
      </c>
      <c r="B54" s="88">
        <f>B51+B52-B53</f>
        <v>2250</v>
      </c>
      <c r="D54" s="73">
        <v>24</v>
      </c>
      <c r="F54" s="26">
        <f>($D54*$B$7/1000*$B$23*$B$6*($B$5-$B$10-$B$4)*$B$24*$B$25*Q54)/3600000/$B$12*$B$8*$B$9</f>
        <v>4046.8209317171727</v>
      </c>
      <c r="G54" s="65">
        <f t="shared" si="8"/>
        <v>337235.07764309773</v>
      </c>
      <c r="H54" s="66">
        <f t="shared" si="7"/>
        <v>26978.806211447816</v>
      </c>
      <c r="I54" s="67">
        <f t="shared" si="6"/>
        <v>8.4520069584736266</v>
      </c>
      <c r="J54" s="67"/>
      <c r="K54" s="53">
        <f>F54*$B$26</f>
        <v>1497.3237447353538</v>
      </c>
      <c r="L54" s="72">
        <f>$B$54/K54</f>
        <v>1.5026810386939258</v>
      </c>
      <c r="M54" s="84">
        <f>$B$54/N54</f>
        <v>1.853306614389175E-2</v>
      </c>
      <c r="N54" s="25">
        <f>F54*$B$11</f>
        <v>121404.62795151518</v>
      </c>
      <c r="O54" s="79">
        <f>N54*$B$26</f>
        <v>44919.712342060615</v>
      </c>
      <c r="P54" s="80">
        <f>POWER(O54/$B$54,1/$B$11)-1-$B$16</f>
        <v>0.10294793586453599</v>
      </c>
      <c r="Q54" s="13">
        <v>0.39100000000000001</v>
      </c>
      <c r="R54" s="4" t="s">
        <v>6</v>
      </c>
    </row>
    <row r="55" spans="1:18" ht="17.25" customHeight="1" x14ac:dyDescent="0.3">
      <c r="R55" s="24"/>
    </row>
    <row r="72" spans="6:16" x14ac:dyDescent="0.3">
      <c r="F72" s="20"/>
      <c r="G72" s="20"/>
      <c r="H72" s="20"/>
      <c r="I72" s="20"/>
      <c r="J72" s="20"/>
      <c r="L72" s="18"/>
      <c r="N72" s="91"/>
      <c r="O72" s="91"/>
      <c r="P72" s="19"/>
    </row>
  </sheetData>
  <mergeCells count="16">
    <mergeCell ref="A42:B42"/>
    <mergeCell ref="A44:B44"/>
    <mergeCell ref="A50:B50"/>
    <mergeCell ref="N72:O72"/>
    <mergeCell ref="B1:I1"/>
    <mergeCell ref="D7:Q7"/>
    <mergeCell ref="D11:Q11"/>
    <mergeCell ref="D12:Q12"/>
    <mergeCell ref="A28:B28"/>
    <mergeCell ref="A30:B30"/>
    <mergeCell ref="A36:B36"/>
    <mergeCell ref="A3:Q3"/>
    <mergeCell ref="D4:Q4"/>
    <mergeCell ref="D5:Q5"/>
    <mergeCell ref="D6:Q6"/>
    <mergeCell ref="A2:Q2"/>
  </mergeCells>
  <dataValidations disablePrompts="1" count="1">
    <dataValidation type="list" allowBlank="1" showInputMessage="1" showErrorMessage="1" sqref="D12:K12" xr:uid="{0716CFDC-C9AC-4DFB-A5DC-389221EA19FD}">
      <formula1>Warmwasseraufbereitung</formula1>
    </dataValidation>
  </dataValidations>
  <pageMargins left="0.7" right="0.7" top="0.75" bottom="0.75" header="0.3" footer="0.3"/>
  <pageSetup paperSize="9" scale="4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Joulia-Inline</vt:lpstr>
      <vt:lpstr>Joulia-Twinline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Barbara Schlumpf</cp:lastModifiedBy>
  <dcterms:created xsi:type="dcterms:W3CDTF">2019-07-24T08:28:52Z</dcterms:created>
  <dcterms:modified xsi:type="dcterms:W3CDTF">2025-01-15T08:29:00Z</dcterms:modified>
</cp:coreProperties>
</file>