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uelMarti\Desktop\"/>
    </mc:Choice>
  </mc:AlternateContent>
  <xr:revisionPtr revIDLastSave="0" documentId="8_{4238FE30-56C3-4DDF-9963-DF22678CD056}" xr6:coauthVersionLast="47" xr6:coauthVersionMax="47" xr10:uidLastSave="{00000000-0000-0000-0000-000000000000}"/>
  <bookViews>
    <workbookView xWindow="2730" yWindow="2730" windowWidth="21600" windowHeight="11295" xr2:uid="{F19C276E-566A-E04B-A04E-606F9AFAED25}"/>
  </bookViews>
  <sheets>
    <sheet name="Joulia-Inline" sheetId="2" r:id="rId1"/>
    <sheet name="Joulia-Twinline" sheetId="3" r:id="rId2"/>
  </sheets>
  <definedNames>
    <definedName name="_xlnm._FilterDatabase" localSheetId="0" hidden="1">'Joulia-Inline'!$F$30:$K$40</definedName>
    <definedName name="_xlnm._FilterDatabase" localSheetId="1" hidden="1">'Joulia-Twinline'!$F$30:$K$40</definedName>
    <definedName name="Warmwasseraufbereitung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3" l="1"/>
  <c r="F37" i="3" s="1"/>
  <c r="K37" i="3" s="1"/>
  <c r="B53" i="2"/>
  <c r="B47" i="2"/>
  <c r="B53" i="3"/>
  <c r="B47" i="3"/>
  <c r="B39" i="3"/>
  <c r="B33" i="3"/>
  <c r="B39" i="2"/>
  <c r="B33" i="2"/>
  <c r="B52" i="3"/>
  <c r="B46" i="3"/>
  <c r="B38" i="3"/>
  <c r="B32" i="3"/>
  <c r="B37" i="3"/>
  <c r="B45" i="3"/>
  <c r="B32" i="2"/>
  <c r="B8" i="2"/>
  <c r="F30" i="2" s="1"/>
  <c r="B31" i="2"/>
  <c r="F36" i="3" l="1"/>
  <c r="N36" i="3" s="1"/>
  <c r="O36" i="3" s="1"/>
  <c r="F33" i="3"/>
  <c r="K33" i="3" s="1"/>
  <c r="F48" i="3"/>
  <c r="G48" i="3" s="1"/>
  <c r="F52" i="3"/>
  <c r="N52" i="3" s="1"/>
  <c r="O52" i="3" s="1"/>
  <c r="F39" i="3"/>
  <c r="N39" i="3" s="1"/>
  <c r="O39" i="3" s="1"/>
  <c r="F45" i="3"/>
  <c r="N45" i="3" s="1"/>
  <c r="O45" i="3" s="1"/>
  <c r="F30" i="3"/>
  <c r="G30" i="3" s="1"/>
  <c r="B48" i="3"/>
  <c r="N37" i="3"/>
  <c r="O37" i="3" s="1"/>
  <c r="B40" i="3"/>
  <c r="G36" i="3"/>
  <c r="B31" i="3"/>
  <c r="B34" i="3" s="1"/>
  <c r="G37" i="3"/>
  <c r="F40" i="3"/>
  <c r="F46" i="3"/>
  <c r="F50" i="3"/>
  <c r="F53" i="3"/>
  <c r="F31" i="3"/>
  <c r="H37" i="3"/>
  <c r="I37" i="3" s="1"/>
  <c r="B51" i="3"/>
  <c r="B54" i="3" s="1"/>
  <c r="M50" i="3" s="1"/>
  <c r="F34" i="3"/>
  <c r="F38" i="3"/>
  <c r="F44" i="3"/>
  <c r="F51" i="3"/>
  <c r="F47" i="3"/>
  <c r="F54" i="3"/>
  <c r="H45" i="3"/>
  <c r="I45" i="3" s="1"/>
  <c r="F32" i="3"/>
  <c r="B51" i="2"/>
  <c r="H33" i="3" l="1"/>
  <c r="I33" i="3" s="1"/>
  <c r="H36" i="3"/>
  <c r="I36" i="3" s="1"/>
  <c r="K36" i="3"/>
  <c r="N33" i="3"/>
  <c r="O33" i="3" s="1"/>
  <c r="G33" i="3"/>
  <c r="G45" i="3"/>
  <c r="K45" i="3"/>
  <c r="L45" i="3" s="1"/>
  <c r="K48" i="3"/>
  <c r="L48" i="3" s="1"/>
  <c r="H48" i="3"/>
  <c r="I48" i="3" s="1"/>
  <c r="K39" i="3"/>
  <c r="L39" i="3" s="1"/>
  <c r="H52" i="3"/>
  <c r="I52" i="3" s="1"/>
  <c r="G52" i="3"/>
  <c r="K52" i="3"/>
  <c r="L52" i="3" s="1"/>
  <c r="G39" i="3"/>
  <c r="H39" i="3"/>
  <c r="I39" i="3" s="1"/>
  <c r="M39" i="3"/>
  <c r="H30" i="3"/>
  <c r="I30" i="3" s="1"/>
  <c r="N48" i="3"/>
  <c r="O48" i="3" s="1"/>
  <c r="P48" i="3" s="1"/>
  <c r="P39" i="3"/>
  <c r="P45" i="3"/>
  <c r="P37" i="3"/>
  <c r="K30" i="3"/>
  <c r="L30" i="3" s="1"/>
  <c r="N30" i="3"/>
  <c r="O30" i="3" s="1"/>
  <c r="P30" i="3" s="1"/>
  <c r="P36" i="3"/>
  <c r="M36" i="3"/>
  <c r="L36" i="3"/>
  <c r="M45" i="3"/>
  <c r="M37" i="3"/>
  <c r="L37" i="3"/>
  <c r="K50" i="3"/>
  <c r="L50" i="3" s="1"/>
  <c r="N50" i="3"/>
  <c r="O50" i="3" s="1"/>
  <c r="P50" i="3" s="1"/>
  <c r="H50" i="3"/>
  <c r="I50" i="3" s="1"/>
  <c r="G50" i="3"/>
  <c r="N32" i="3"/>
  <c r="O32" i="3" s="1"/>
  <c r="P32" i="3" s="1"/>
  <c r="H32" i="3"/>
  <c r="I32" i="3" s="1"/>
  <c r="G32" i="3"/>
  <c r="K32" i="3"/>
  <c r="L32" i="3" s="1"/>
  <c r="G47" i="3"/>
  <c r="H47" i="3"/>
  <c r="I47" i="3" s="1"/>
  <c r="N47" i="3"/>
  <c r="K47" i="3"/>
  <c r="L47" i="3" s="1"/>
  <c r="H44" i="3"/>
  <c r="I44" i="3" s="1"/>
  <c r="G44" i="3"/>
  <c r="N44" i="3"/>
  <c r="K44" i="3"/>
  <c r="L44" i="3" s="1"/>
  <c r="K46" i="3"/>
  <c r="L46" i="3" s="1"/>
  <c r="H46" i="3"/>
  <c r="I46" i="3" s="1"/>
  <c r="G46" i="3"/>
  <c r="N46" i="3"/>
  <c r="M52" i="3"/>
  <c r="K53" i="3"/>
  <c r="L53" i="3" s="1"/>
  <c r="H53" i="3"/>
  <c r="I53" i="3" s="1"/>
  <c r="G53" i="3"/>
  <c r="N53" i="3"/>
  <c r="O53" i="3" s="1"/>
  <c r="P53" i="3" s="1"/>
  <c r="H51" i="3"/>
  <c r="I51" i="3" s="1"/>
  <c r="G51" i="3"/>
  <c r="N51" i="3"/>
  <c r="O51" i="3" s="1"/>
  <c r="P51" i="3" s="1"/>
  <c r="K51" i="3"/>
  <c r="L51" i="3" s="1"/>
  <c r="H38" i="3"/>
  <c r="I38" i="3" s="1"/>
  <c r="G38" i="3"/>
  <c r="K38" i="3"/>
  <c r="L38" i="3" s="1"/>
  <c r="N38" i="3"/>
  <c r="H31" i="3"/>
  <c r="I31" i="3" s="1"/>
  <c r="G31" i="3"/>
  <c r="N31" i="3"/>
  <c r="O31" i="3" s="1"/>
  <c r="P31" i="3" s="1"/>
  <c r="K31" i="3"/>
  <c r="L31" i="3" s="1"/>
  <c r="K40" i="3"/>
  <c r="L40" i="3" s="1"/>
  <c r="H40" i="3"/>
  <c r="I40" i="3" s="1"/>
  <c r="G40" i="3"/>
  <c r="N40" i="3"/>
  <c r="L33" i="3"/>
  <c r="M33" i="3"/>
  <c r="H34" i="3"/>
  <c r="I34" i="3" s="1"/>
  <c r="G34" i="3"/>
  <c r="K34" i="3"/>
  <c r="L34" i="3" s="1"/>
  <c r="N34" i="3"/>
  <c r="O34" i="3" s="1"/>
  <c r="P34" i="3" s="1"/>
  <c r="P52" i="3"/>
  <c r="G54" i="3"/>
  <c r="H54" i="3"/>
  <c r="I54" i="3" s="1"/>
  <c r="N54" i="3"/>
  <c r="O54" i="3" s="1"/>
  <c r="P54" i="3" s="1"/>
  <c r="K54" i="3"/>
  <c r="L54" i="3" s="1"/>
  <c r="P33" i="3"/>
  <c r="B45" i="2"/>
  <c r="H30" i="2"/>
  <c r="I30" i="2" s="1"/>
  <c r="M48" i="3" l="1"/>
  <c r="M32" i="3"/>
  <c r="M30" i="3"/>
  <c r="M31" i="3"/>
  <c r="M51" i="3"/>
  <c r="M54" i="3"/>
  <c r="O44" i="3"/>
  <c r="P44" i="3" s="1"/>
  <c r="M44" i="3"/>
  <c r="O46" i="3"/>
  <c r="P46" i="3" s="1"/>
  <c r="M46" i="3"/>
  <c r="M34" i="3"/>
  <c r="M53" i="3"/>
  <c r="O47" i="3"/>
  <c r="P47" i="3" s="1"/>
  <c r="M47" i="3"/>
  <c r="O40" i="3"/>
  <c r="P40" i="3" s="1"/>
  <c r="M40" i="3"/>
  <c r="O38" i="3"/>
  <c r="P38" i="3" s="1"/>
  <c r="M38" i="3"/>
  <c r="K30" i="2"/>
  <c r="G30" i="2"/>
  <c r="F46" i="2"/>
  <c r="F51" i="2"/>
  <c r="F47" i="2"/>
  <c r="F50" i="2"/>
  <c r="F48" i="2"/>
  <c r="F52" i="2"/>
  <c r="F45" i="2"/>
  <c r="F53" i="2"/>
  <c r="F54" i="2"/>
  <c r="F44" i="2"/>
  <c r="F32" i="2"/>
  <c r="H52" i="2" l="1"/>
  <c r="I52" i="2" s="1"/>
  <c r="G52" i="2"/>
  <c r="G48" i="2"/>
  <c r="H48" i="2"/>
  <c r="I48" i="2" s="1"/>
  <c r="G51" i="2"/>
  <c r="H51" i="2"/>
  <c r="I51" i="2" s="1"/>
  <c r="H47" i="2"/>
  <c r="I47" i="2" s="1"/>
  <c r="G47" i="2"/>
  <c r="H46" i="2"/>
  <c r="I46" i="2" s="1"/>
  <c r="G46" i="2"/>
  <c r="H50" i="2"/>
  <c r="I50" i="2" s="1"/>
  <c r="G50" i="2"/>
  <c r="H53" i="2"/>
  <c r="I53" i="2" s="1"/>
  <c r="G53" i="2"/>
  <c r="G44" i="2"/>
  <c r="H44" i="2"/>
  <c r="I44" i="2" s="1"/>
  <c r="G54" i="2"/>
  <c r="H54" i="2"/>
  <c r="I54" i="2" s="1"/>
  <c r="G45" i="2"/>
  <c r="H45" i="2"/>
  <c r="I45" i="2" s="1"/>
  <c r="G32" i="2"/>
  <c r="H32" i="2"/>
  <c r="I32" i="2" s="1"/>
  <c r="F31" i="2"/>
  <c r="G31" i="2" l="1"/>
  <c r="H31" i="2"/>
  <c r="I31" i="2" s="1"/>
  <c r="F38" i="2"/>
  <c r="F34" i="2"/>
  <c r="F39" i="2"/>
  <c r="F37" i="2"/>
  <c r="F36" i="2"/>
  <c r="F33" i="2"/>
  <c r="F40" i="2"/>
  <c r="G36" i="2" l="1"/>
  <c r="H36" i="2"/>
  <c r="I36" i="2" s="1"/>
  <c r="G39" i="2"/>
  <c r="H39" i="2"/>
  <c r="I39" i="2" s="1"/>
  <c r="G38" i="2"/>
  <c r="H38" i="2"/>
  <c r="I38" i="2" s="1"/>
  <c r="G37" i="2"/>
  <c r="H37" i="2"/>
  <c r="I37" i="2" s="1"/>
  <c r="G40" i="2"/>
  <c r="H40" i="2"/>
  <c r="I40" i="2" s="1"/>
  <c r="G33" i="2"/>
  <c r="H33" i="2"/>
  <c r="I33" i="2" s="1"/>
  <c r="G34" i="2"/>
  <c r="H34" i="2"/>
  <c r="I34" i="2" s="1"/>
  <c r="N30" i="2"/>
  <c r="O30" i="2" s="1"/>
  <c r="K31" i="2" l="1"/>
  <c r="K32" i="2"/>
  <c r="B34" i="2"/>
  <c r="K33" i="2"/>
  <c r="K34" i="2"/>
  <c r="K36" i="2"/>
  <c r="B37" i="2"/>
  <c r="K37" i="2"/>
  <c r="B38" i="2"/>
  <c r="K38" i="2"/>
  <c r="K39" i="2"/>
  <c r="K40" i="2"/>
  <c r="K44" i="2"/>
  <c r="K45" i="2"/>
  <c r="B46" i="2"/>
  <c r="N46" i="2"/>
  <c r="O46" i="2" s="1"/>
  <c r="K47" i="2"/>
  <c r="K48" i="2"/>
  <c r="K50" i="2"/>
  <c r="K51" i="2"/>
  <c r="B52" i="2"/>
  <c r="K52" i="2"/>
  <c r="N53" i="2"/>
  <c r="O53" i="2" s="1"/>
  <c r="N54" i="2"/>
  <c r="L30" i="2" l="1"/>
  <c r="P30" i="2"/>
  <c r="B40" i="2"/>
  <c r="L40" i="2" s="1"/>
  <c r="N45" i="2"/>
  <c r="O45" i="2" s="1"/>
  <c r="N51" i="2"/>
  <c r="O51" i="2" s="1"/>
  <c r="N44" i="2"/>
  <c r="O44" i="2" s="1"/>
  <c r="N31" i="2"/>
  <c r="O31" i="2" s="1"/>
  <c r="N34" i="2"/>
  <c r="O34" i="2" s="1"/>
  <c r="K46" i="2"/>
  <c r="N33" i="2"/>
  <c r="O33" i="2" s="1"/>
  <c r="N32" i="2"/>
  <c r="O32" i="2" s="1"/>
  <c r="N50" i="2"/>
  <c r="N48" i="2"/>
  <c r="O48" i="2" s="1"/>
  <c r="N47" i="2"/>
  <c r="O47" i="2" s="1"/>
  <c r="N52" i="2"/>
  <c r="O52" i="2" s="1"/>
  <c r="B54" i="2"/>
  <c r="P53" i="2" s="1"/>
  <c r="B48" i="2"/>
  <c r="L44" i="2" s="1"/>
  <c r="O54" i="2"/>
  <c r="K54" i="2"/>
  <c r="K53" i="2"/>
  <c r="N40" i="2"/>
  <c r="N39" i="2"/>
  <c r="O39" i="2" s="1"/>
  <c r="N38" i="2"/>
  <c r="O38" i="2" s="1"/>
  <c r="N37" i="2"/>
  <c r="O37" i="2" s="1"/>
  <c r="N36" i="2"/>
  <c r="O36" i="2" s="1"/>
  <c r="O50" i="2" l="1"/>
  <c r="P50" i="2" s="1"/>
  <c r="M50" i="2"/>
  <c r="L33" i="2"/>
  <c r="M30" i="2"/>
  <c r="M51" i="2"/>
  <c r="M53" i="2"/>
  <c r="P39" i="2"/>
  <c r="L37" i="2"/>
  <c r="P37" i="2"/>
  <c r="P38" i="2"/>
  <c r="L39" i="2"/>
  <c r="P36" i="2"/>
  <c r="L38" i="2"/>
  <c r="L36" i="2"/>
  <c r="P54" i="2"/>
  <c r="L52" i="2"/>
  <c r="L51" i="2"/>
  <c r="L53" i="2"/>
  <c r="M54" i="2"/>
  <c r="L50" i="2"/>
  <c r="L54" i="2"/>
  <c r="P51" i="2"/>
  <c r="P52" i="2"/>
  <c r="M45" i="2"/>
  <c r="P45" i="2"/>
  <c r="P46" i="2"/>
  <c r="L46" i="2"/>
  <c r="L47" i="2"/>
  <c r="M46" i="2"/>
  <c r="P44" i="2"/>
  <c r="L45" i="2"/>
  <c r="M44" i="2"/>
  <c r="L34" i="2"/>
  <c r="M48" i="2"/>
  <c r="P48" i="2"/>
  <c r="P34" i="2"/>
  <c r="M52" i="2"/>
  <c r="M31" i="2"/>
  <c r="L31" i="2"/>
  <c r="L32" i="2"/>
  <c r="P31" i="2"/>
  <c r="P47" i="2"/>
  <c r="P33" i="2"/>
  <c r="P32" i="2"/>
  <c r="M32" i="2"/>
  <c r="L48" i="2"/>
  <c r="M34" i="2"/>
  <c r="M33" i="2"/>
  <c r="M38" i="2"/>
  <c r="M39" i="2"/>
  <c r="M47" i="2"/>
  <c r="O40" i="2"/>
  <c r="P40" i="2" s="1"/>
  <c r="M40" i="2"/>
  <c r="M36" i="2"/>
  <c r="M3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reto.schmid</author>
  </authors>
  <commentList>
    <comment ref="D26" authorId="0" shapeId="0" xr:uid="{0E46FE5D-06B3-4345-8315-A1709255603B}">
      <text>
        <r>
          <rPr>
            <sz val="9"/>
            <color indexed="81"/>
            <rFont val="Segoe UI"/>
            <family val="2"/>
          </rPr>
          <t>Deutschland:
https://www.finanztip.de/stromvergleich/strompreis/
Schweiz: 
https://www.strompreis.elcom.admin.ch/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reto.schmid</author>
  </authors>
  <commentList>
    <comment ref="D26" authorId="0" shapeId="0" xr:uid="{ACB60FB2-2369-47A5-BF0E-C7CF3C1FC49C}">
      <text>
        <r>
          <rPr>
            <sz val="9"/>
            <color indexed="81"/>
            <rFont val="Segoe UI"/>
            <family val="2"/>
          </rPr>
          <t>Deutschland:
https://www.finanztip.de/stromvergleich/strompreis/
Schweiz: 
https://www.strompreis.elcom.admin.ch/</t>
        </r>
      </text>
    </comment>
    <comment ref="Q28" authorId="0" shapeId="0" xr:uid="{6DF185A1-EE4D-4525-950D-9D5E66C3739B}">
      <text>
        <r>
          <rPr>
            <b/>
            <sz val="9"/>
            <color indexed="81"/>
            <rFont val="Segoe UI"/>
            <family val="2"/>
          </rPr>
          <t>6P-830 Messungen in 10P-RK 28.03.2019</t>
        </r>
      </text>
    </comment>
    <comment ref="Q42" authorId="0" shapeId="0" xr:uid="{D1DE6825-65C6-4B18-88BC-CAC5846A7062}">
      <text>
        <r>
          <rPr>
            <b/>
            <sz val="9"/>
            <color indexed="81"/>
            <rFont val="Segoe UI"/>
            <family val="2"/>
          </rPr>
          <t>6P-830 Messungen in 10P-RK 28.03.2019</t>
        </r>
      </text>
    </comment>
  </commentList>
</comments>
</file>

<file path=xl/sharedStrings.xml><?xml version="1.0" encoding="utf-8"?>
<sst xmlns="http://schemas.openxmlformats.org/spreadsheetml/2006/main" count="240" uniqueCount="70">
  <si>
    <t>Joulia-Inline</t>
  </si>
  <si>
    <t>17.12.25</t>
  </si>
  <si>
    <t>Vorgegebene Werte:</t>
  </si>
  <si>
    <t>[°C]</t>
  </si>
  <si>
    <t>Kaltwassertemperatur</t>
  </si>
  <si>
    <t xml:space="preserve">Brauchwassertemperatur </t>
  </si>
  <si>
    <t>[J/(kg*K)]</t>
  </si>
  <si>
    <t>spez. Wärmekapazität</t>
  </si>
  <si>
    <t>[kg/m^3]</t>
  </si>
  <si>
    <t>Wasserdichte</t>
  </si>
  <si>
    <t>Annahme</t>
  </si>
  <si>
    <t>Faktor Startverlust (von der Duschdauer abhängig)</t>
  </si>
  <si>
    <t>FaktorVerschmutzung</t>
  </si>
  <si>
    <t>Temperaturverlust in °C von Brause bis Ablauf (geschlossene Kabine 2°C / offener Duschplatz 4°C)</t>
  </si>
  <si>
    <t>Lebensdauer der Duschrinne in Jahren</t>
  </si>
  <si>
    <t>Fernwärme</t>
  </si>
  <si>
    <t>Mittlerer Nutzungsgrad Warmwasseraufbereitung bei Schema B (⌀ 77% gem. Prognos Ex-Post-Analyse 2020)</t>
  </si>
  <si>
    <t>Holz</t>
  </si>
  <si>
    <t>Rabatt auf Bruttopreis für Endkunden</t>
  </si>
  <si>
    <t>Mehraufwand Montage (Material und Zeit)</t>
  </si>
  <si>
    <t>Förderbeiträge und Subventionen</t>
  </si>
  <si>
    <t>⌀ Zins auf Kapital</t>
  </si>
  <si>
    <t>Nettopreis vergleichbares Produkt ohne WRG</t>
  </si>
  <si>
    <t>kWh Verbrauch Elektroauto für 100 km</t>
  </si>
  <si>
    <t>Watt Leistung, z.B. Stromsparbirne</t>
  </si>
  <si>
    <t>km Distanz Frankfurt - Nordkapp (Norwegen)</t>
  </si>
  <si>
    <t>Richtpreis Brutto</t>
  </si>
  <si>
    <r>
      <t>Joulia-Inline</t>
    </r>
    <r>
      <rPr>
        <b/>
        <sz val="12"/>
        <rFont val="Source Sans Pro"/>
        <family val="2"/>
      </rPr>
      <t xml:space="preserve"> </t>
    </r>
    <r>
      <rPr>
        <b/>
        <sz val="12"/>
        <rFont val="Source Sans Pro Black"/>
        <family val="2"/>
      </rPr>
      <t>3P</t>
    </r>
  </si>
  <si>
    <r>
      <t xml:space="preserve">Joulia-Inline </t>
    </r>
    <r>
      <rPr>
        <sz val="12"/>
        <rFont val="Source Sans Pro Black"/>
        <family val="2"/>
      </rPr>
      <t>5P</t>
    </r>
  </si>
  <si>
    <t xml:space="preserve">&gt;&gt; bitte einfüllen  </t>
  </si>
  <si>
    <t>Anzahl Duschminuten pro Tag und Person ( ⌀ in der Schweiz 8.7 min)</t>
  </si>
  <si>
    <t>Anzahl Duschvorgänge pro Person und Jahr</t>
  </si>
  <si>
    <t>Anzahl Personen pro Dusche</t>
  </si>
  <si>
    <t>Energiekosten pro Kilowattstunde (Preis/kWh)</t>
  </si>
  <si>
    <t>Elektrizität Zentral</t>
  </si>
  <si>
    <r>
      <rPr>
        <sz val="18"/>
        <color indexed="8"/>
        <rFont val="Source Sans Pro Black"/>
        <family val="2"/>
      </rPr>
      <t xml:space="preserve">Schema B
</t>
    </r>
    <r>
      <rPr>
        <sz val="12"/>
        <color indexed="8"/>
        <rFont val="Source Sans Pro"/>
        <family val="2"/>
      </rPr>
      <t>Warmwasser</t>
    </r>
    <r>
      <rPr>
        <u/>
        <sz val="12"/>
        <color rgb="FF000000"/>
        <rFont val="Source Sans Pro"/>
        <family val="2"/>
      </rPr>
      <t xml:space="preserve"> zentral</t>
    </r>
    <r>
      <rPr>
        <sz val="12"/>
        <color indexed="8"/>
        <rFont val="Source Sans Pro"/>
        <family val="2"/>
      </rPr>
      <t xml:space="preserve"> im Keller</t>
    </r>
  </si>
  <si>
    <t>Brause</t>
  </si>
  <si>
    <t>Eingesparte
Energie/Jahr</t>
  </si>
  <si>
    <t>Entspricht Betriebsstunden Stromsparlampe</t>
  </si>
  <si>
    <t>Entspricht 
Reichweite Elektroauto</t>
  </si>
  <si>
    <t>Anzahl Reisen
von Frankfurt Nordkapp</t>
  </si>
  <si>
    <t>Eingespartes
Kosten/Jahr</t>
  </si>
  <si>
    <t>Amortisation
in Jahren</t>
  </si>
  <si>
    <t>Preis/kWh
von Joulia</t>
  </si>
  <si>
    <t>Energieersparnis total
(Lebensdauer)</t>
  </si>
  <si>
    <t>finanz. Ersparnis total
(Lebensdauer)</t>
  </si>
  <si>
    <t>Rendite</t>
  </si>
  <si>
    <t>Effizienz
gem. Joulia
(stationär)</t>
  </si>
  <si>
    <t>Turbulatoren</t>
  </si>
  <si>
    <t>Duschrinne 3P-630</t>
  </si>
  <si>
    <t>Ja</t>
  </si>
  <si>
    <t>Nettopreis</t>
  </si>
  <si>
    <t>Mehraufwände vs. Förderbeiträge</t>
  </si>
  <si>
    <t>Abzüglich vergl. Duschrinne ohne WRG</t>
  </si>
  <si>
    <t>Mehrpreis der 3P-WRG</t>
  </si>
  <si>
    <t>Duschrinne 5P-630</t>
  </si>
  <si>
    <t>Mehrpreis der 5P-WRG</t>
  </si>
  <si>
    <r>
      <rPr>
        <sz val="18"/>
        <color indexed="8"/>
        <rFont val="Source Sans Pro Black"/>
        <family val="2"/>
      </rPr>
      <t xml:space="preserve">Schema A/C
</t>
    </r>
    <r>
      <rPr>
        <sz val="12"/>
        <color indexed="8"/>
        <rFont val="Source Sans Pro"/>
        <family val="2"/>
      </rPr>
      <t xml:space="preserve">Warmwasseraufbereitung </t>
    </r>
    <r>
      <rPr>
        <u/>
        <sz val="12"/>
        <color rgb="FF000000"/>
        <rFont val="Source Sans Pro"/>
        <family val="2"/>
      </rPr>
      <t>dezentral</t>
    </r>
    <r>
      <rPr>
        <sz val="12"/>
        <color indexed="8"/>
        <rFont val="Source Sans Pro"/>
        <family val="2"/>
      </rPr>
      <t xml:space="preserve"> in Whg mittels Durchlauferhitzer oder Frischwasserstationen</t>
    </r>
  </si>
  <si>
    <t>Effizienz
gem. KIWA
(stationär)</t>
  </si>
  <si>
    <t>Nein</t>
  </si>
  <si>
    <t>Joulia-Twinline</t>
  </si>
  <si>
    <r>
      <t>Joulia-Inline</t>
    </r>
    <r>
      <rPr>
        <b/>
        <sz val="12"/>
        <rFont val="Source Sans Pro"/>
        <family val="2"/>
      </rPr>
      <t xml:space="preserve"> </t>
    </r>
    <r>
      <rPr>
        <sz val="12"/>
        <rFont val="Source Sans Pro Black"/>
        <family val="2"/>
      </rPr>
      <t>6P</t>
    </r>
  </si>
  <si>
    <r>
      <t>Joulia-Inline</t>
    </r>
    <r>
      <rPr>
        <sz val="12"/>
        <rFont val="Source Sans Pro Black"/>
        <family val="2"/>
      </rPr>
      <t xml:space="preserve"> 10P</t>
    </r>
  </si>
  <si>
    <t xml:space="preserve">Energiekosten pro Kilowattstunde (Preis/kWh) </t>
  </si>
  <si>
    <t>Effizienz
gem. Joulia
(stationär, 6P Prog.)</t>
  </si>
  <si>
    <t>Duschrinne 6P-830</t>
  </si>
  <si>
    <t>Mehrpreis der 6P-WRG</t>
  </si>
  <si>
    <t>Duschrinne 10P-830</t>
  </si>
  <si>
    <t>Mehrpreis der 10P-WRG</t>
  </si>
  <si>
    <t>prov. Effizienz
gem. Joulia
(stationär)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</si>
</sst>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5" formatCode="&quot;CHF&quot;\ #,##0;&quot;CHF&quot;\ \-#,##0"/>
    <numFmt numFmtId="7" formatCode="&quot;CHF&quot;\ #,##0.00;&quot;CHF&quot;\ \-#,##0.00"/>
    <numFmt numFmtId="43" formatCode="_ * #,##0.00_ ;_ * \-#,##0.00_ ;_ * &quot;-&quot;??_ ;_ @_ "/>
    <numFmt numFmtId="164" formatCode="_ [$Fr.-807]\ * #,##0.00_ ;_ [$Fr.-807]\ * \-#,##0.00_ ;_ [$Fr.-807]\ * &quot;-&quot;??_ ;_ @_ "/>
    <numFmt numFmtId="165" formatCode="_ [$Fr.-807]\ * #,##0_ ;_ [$Fr.-807]\ * \-#,##0_ ;_ [$Fr.-807]\ * &quot;-&quot;??_ ;_ @_ "/>
    <numFmt numFmtId="166" formatCode="0.0%"/>
    <numFmt numFmtId="167" formatCode="_ * #,##0&quot; kWh/a&quot;"/>
    <numFmt numFmtId="168" formatCode="0.0&quot; l/min&quot;"/>
    <numFmt numFmtId="169" formatCode="0&quot; Fr./a&quot;"/>
    <numFmt numFmtId="170" formatCode="0.0&quot; a&quot;"/>
    <numFmt numFmtId="171" formatCode="_ * #,##0&quot; kWh&quot;"/>
    <numFmt numFmtId="172" formatCode="0&quot; kWh&quot;"/>
    <numFmt numFmtId="173" formatCode="0&quot; cm Kupfer&quot;"/>
    <numFmt numFmtId="174" formatCode="0.0&quot; y&quot;"/>
    <numFmt numFmtId="175" formatCode="_ [$€-2]\ * #,##0_ ;_ [$€-2]\ * \-#,##0_ ;_ [$€-2]\ * &quot;-&quot;??_ ;_ @_ "/>
    <numFmt numFmtId="176" formatCode="&quot;CHF&quot;\ #,##0"/>
    <numFmt numFmtId="177" formatCode="0&quot; CHF/a&quot;"/>
    <numFmt numFmtId="178" formatCode="_ * #,##0&quot; h&quot;"/>
    <numFmt numFmtId="179" formatCode="_ * #,##0&quot; km&quot;"/>
    <numFmt numFmtId="180" formatCode="_ * #,##0.0&quot; x&quot;"/>
    <numFmt numFmtId="181" formatCode="0.00&quot; CHF/kWh&quot;"/>
  </numFmts>
  <fonts count="31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Source Sans Pro"/>
      <family val="2"/>
    </font>
    <font>
      <sz val="12"/>
      <color indexed="8"/>
      <name val="Source Sans Pro"/>
      <family val="2"/>
    </font>
    <font>
      <sz val="12"/>
      <name val="Source Sans Pro"/>
      <family val="2"/>
    </font>
    <font>
      <sz val="12"/>
      <name val="Source Sans Pro Black"/>
      <family val="2"/>
    </font>
    <font>
      <sz val="10"/>
      <color rgb="FFFF0000"/>
      <name val="Source Sans Pro"/>
      <family val="2"/>
    </font>
    <font>
      <sz val="12"/>
      <color rgb="FFFF0000"/>
      <name val="Source Sans Pro"/>
      <family val="2"/>
    </font>
    <font>
      <sz val="12"/>
      <color rgb="FF000000"/>
      <name val="Source Sans Pro"/>
      <family val="2"/>
    </font>
    <font>
      <b/>
      <sz val="12"/>
      <color rgb="FFFFFFFF"/>
      <name val="Source Sans Pro Black"/>
      <family val="2"/>
    </font>
    <font>
      <sz val="12"/>
      <color rgb="FFFFFFFF"/>
      <name val="Source Sans Pro Black"/>
      <family val="2"/>
    </font>
    <font>
      <sz val="12"/>
      <color indexed="8"/>
      <name val="Source Sans Pro Black"/>
      <family val="2"/>
    </font>
    <font>
      <sz val="24"/>
      <color theme="0"/>
      <name val="Source Sans Pro Light"/>
      <family val="2"/>
    </font>
    <font>
      <b/>
      <sz val="12"/>
      <color indexed="8"/>
      <name val="Source Sans Pro"/>
      <family val="2"/>
    </font>
    <font>
      <sz val="10"/>
      <color indexed="8"/>
      <name val="Source Sans Pro"/>
      <family val="2"/>
    </font>
    <font>
      <sz val="18"/>
      <color indexed="8"/>
      <name val="Source Sans Pro Light"/>
      <family val="2"/>
    </font>
    <font>
      <sz val="18"/>
      <color indexed="8"/>
      <name val="Source Sans Pro Black"/>
      <family val="2"/>
    </font>
    <font>
      <sz val="20"/>
      <color indexed="8"/>
      <name val="Source Sans Pro"/>
      <family val="2"/>
    </font>
    <font>
      <sz val="12"/>
      <color theme="0"/>
      <name val="Source Sans Pro Black"/>
      <family val="2"/>
    </font>
    <font>
      <u/>
      <sz val="10"/>
      <color indexed="12"/>
      <name val="Arial"/>
      <family val="2"/>
    </font>
    <font>
      <sz val="12"/>
      <color theme="0"/>
      <name val="Source Sans Pro"/>
      <family val="2"/>
    </font>
    <font>
      <b/>
      <sz val="12"/>
      <color theme="0"/>
      <name val="Source Sans Pro Black"/>
      <family val="2"/>
    </font>
    <font>
      <sz val="48"/>
      <color indexed="8"/>
      <name val="Source Sans Pro Light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2"/>
      <name val="Source Sans Pro"/>
      <family val="2"/>
    </font>
    <font>
      <b/>
      <sz val="12"/>
      <name val="Source Sans Pro Black"/>
      <family val="2"/>
    </font>
    <font>
      <sz val="12"/>
      <color theme="0" tint="-0.249977111117893"/>
      <name val="Source Sans Pro"/>
      <family val="2"/>
    </font>
    <font>
      <sz val="12"/>
      <color theme="0" tint="-0.249977111117893"/>
      <name val="Source Sans Pro Black"/>
      <family val="2"/>
    </font>
    <font>
      <u/>
      <sz val="12"/>
      <color rgb="FF000000"/>
      <name val="Source Sans Pro"/>
      <family val="2"/>
    </font>
    <font>
      <b/>
      <sz val="24"/>
      <color theme="0"/>
      <name val="Source Sans Pro Light"/>
      <family val="2"/>
    </font>
  </fonts>
  <fills count="18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8C8C14"/>
        <bgColor indexed="64"/>
      </patternFill>
    </fill>
    <fill>
      <patternFill patternType="solid">
        <fgColor rgb="FFBCCA18"/>
        <bgColor indexed="64"/>
      </patternFill>
    </fill>
    <fill>
      <patternFill patternType="solid">
        <fgColor rgb="FFBCCA18"/>
        <bgColor rgb="FF000000"/>
      </patternFill>
    </fill>
    <fill>
      <patternFill patternType="solid">
        <fgColor rgb="FF97A513"/>
        <bgColor rgb="FF000000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9" fillId="2" borderId="0" xfId="1" applyFont="1" applyFill="1" applyAlignment="1" applyProtection="1">
      <alignment horizontal="right" vertical="center" wrapText="1"/>
      <protection locked="0"/>
    </xf>
    <xf numFmtId="0" fontId="2" fillId="0" borderId="0" xfId="1" applyFont="1" applyAlignment="1">
      <alignment vertical="top" wrapText="1"/>
    </xf>
    <xf numFmtId="0" fontId="8" fillId="0" borderId="0" xfId="1" applyFont="1" applyAlignment="1">
      <alignment vertical="top" wrapText="1"/>
    </xf>
    <xf numFmtId="0" fontId="8" fillId="0" borderId="0" xfId="1" applyFont="1" applyAlignment="1">
      <alignment horizontal="center" wrapText="1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right" vertical="top"/>
    </xf>
    <xf numFmtId="0" fontId="4" fillId="0" borderId="0" xfId="1" applyFont="1" applyAlignment="1">
      <alignment horizontal="left" vertical="top"/>
    </xf>
    <xf numFmtId="0" fontId="4" fillId="0" borderId="0" xfId="1" applyFont="1" applyAlignment="1">
      <alignment horizontal="center"/>
    </xf>
    <xf numFmtId="49" fontId="4" fillId="0" borderId="0" xfId="1" applyNumberFormat="1" applyFont="1" applyAlignment="1">
      <alignment horizontal="left" vertical="top"/>
    </xf>
    <xf numFmtId="49" fontId="4" fillId="0" borderId="0" xfId="1" applyNumberFormat="1" applyFont="1" applyAlignment="1">
      <alignment horizontal="center"/>
    </xf>
    <xf numFmtId="0" fontId="4" fillId="0" borderId="0" xfId="1" applyFont="1" applyAlignment="1">
      <alignment horizontal="left" vertical="center"/>
    </xf>
    <xf numFmtId="0" fontId="8" fillId="3" borderId="0" xfId="1" applyFont="1" applyFill="1" applyAlignment="1">
      <alignment horizontal="center" vertical="center" wrapText="1"/>
    </xf>
    <xf numFmtId="166" fontId="4" fillId="0" borderId="0" xfId="1" applyNumberFormat="1" applyFont="1" applyAlignment="1">
      <alignment horizontal="center" wrapText="1"/>
    </xf>
    <xf numFmtId="172" fontId="7" fillId="0" borderId="0" xfId="2" applyNumberFormat="1" applyFont="1" applyAlignment="1" applyProtection="1">
      <alignment horizontal="center" wrapText="1"/>
    </xf>
    <xf numFmtId="164" fontId="6" fillId="0" borderId="0" xfId="1" applyNumberFormat="1" applyFont="1" applyAlignment="1">
      <alignment horizontal="right" vertical="center" wrapText="1"/>
    </xf>
    <xf numFmtId="173" fontId="6" fillId="0" borderId="0" xfId="1" applyNumberFormat="1" applyFont="1" applyAlignment="1">
      <alignment horizontal="left" vertical="center" wrapText="1"/>
    </xf>
    <xf numFmtId="14" fontId="2" fillId="0" borderId="0" xfId="1" applyNumberFormat="1" applyFont="1" applyAlignment="1">
      <alignment horizontal="center" wrapText="1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3" fillId="0" borderId="0" xfId="1" applyFont="1" applyAlignment="1">
      <alignment vertical="top" wrapText="1"/>
    </xf>
    <xf numFmtId="0" fontId="3" fillId="0" borderId="0" xfId="1" applyFont="1" applyAlignment="1">
      <alignment horizontal="center" vertical="top" wrapText="1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right" vertical="top" wrapText="1"/>
    </xf>
    <xf numFmtId="169" fontId="3" fillId="0" borderId="0" xfId="1" applyNumberFormat="1" applyFont="1" applyAlignment="1">
      <alignment horizontal="right" wrapText="1"/>
    </xf>
    <xf numFmtId="171" fontId="3" fillId="0" borderId="0" xfId="2" applyNumberFormat="1" applyFont="1" applyBorder="1" applyAlignment="1">
      <alignment horizontal="center" wrapText="1"/>
    </xf>
    <xf numFmtId="167" fontId="3" fillId="0" borderId="0" xfId="2" applyNumberFormat="1" applyFont="1" applyBorder="1" applyAlignment="1">
      <alignment horizontal="center" wrapText="1"/>
    </xf>
    <xf numFmtId="174" fontId="13" fillId="0" borderId="0" xfId="1" applyNumberFormat="1" applyFont="1" applyAlignment="1">
      <alignment horizontal="center" wrapText="1"/>
    </xf>
    <xf numFmtId="172" fontId="6" fillId="0" borderId="0" xfId="2" applyNumberFormat="1" applyFont="1" applyBorder="1" applyAlignment="1">
      <alignment horizontal="center" wrapText="1"/>
    </xf>
    <xf numFmtId="172" fontId="3" fillId="0" borderId="0" xfId="2" applyNumberFormat="1" applyFont="1" applyBorder="1" applyAlignment="1">
      <alignment horizontal="right" wrapText="1"/>
    </xf>
    <xf numFmtId="172" fontId="3" fillId="0" borderId="0" xfId="2" applyNumberFormat="1" applyFont="1" applyBorder="1" applyAlignment="1">
      <alignment horizontal="left" wrapText="1"/>
    </xf>
    <xf numFmtId="0" fontId="13" fillId="0" borderId="0" xfId="1" applyFont="1" applyAlignment="1">
      <alignment horizontal="center" vertical="top" wrapText="1"/>
    </xf>
    <xf numFmtId="0" fontId="3" fillId="4" borderId="0" xfId="1" applyFont="1" applyFill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49" fontId="17" fillId="0" borderId="0" xfId="1" applyNumberFormat="1" applyFont="1" applyAlignment="1">
      <alignment vertical="top"/>
    </xf>
    <xf numFmtId="171" fontId="3" fillId="0" borderId="0" xfId="2" applyNumberFormat="1" applyFont="1" applyBorder="1" applyAlignment="1">
      <alignment wrapText="1"/>
    </xf>
    <xf numFmtId="0" fontId="3" fillId="0" borderId="0" xfId="1" applyFont="1" applyAlignment="1">
      <alignment horizontal="left" vertical="top"/>
    </xf>
    <xf numFmtId="0" fontId="3" fillId="0" borderId="0" xfId="1" applyFont="1" applyAlignment="1">
      <alignment wrapText="1"/>
    </xf>
    <xf numFmtId="172" fontId="7" fillId="0" borderId="0" xfId="2" applyNumberFormat="1" applyFont="1" applyBorder="1" applyAlignment="1">
      <alignment horizontal="center" wrapText="1"/>
    </xf>
    <xf numFmtId="172" fontId="3" fillId="0" borderId="0" xfId="2" applyNumberFormat="1" applyFont="1" applyBorder="1" applyAlignment="1">
      <alignment wrapText="1"/>
    </xf>
    <xf numFmtId="172" fontId="3" fillId="0" borderId="0" xfId="2" applyNumberFormat="1" applyFont="1" applyBorder="1" applyAlignment="1">
      <alignment horizontal="center" wrapText="1"/>
    </xf>
    <xf numFmtId="168" fontId="3" fillId="0" borderId="0" xfId="2" applyNumberFormat="1" applyFont="1" applyBorder="1" applyAlignment="1">
      <alignment horizontal="right" wrapText="1"/>
    </xf>
    <xf numFmtId="0" fontId="11" fillId="0" borderId="0" xfId="1" applyFont="1" applyAlignment="1">
      <alignment horizontal="center" vertical="top" wrapText="1"/>
    </xf>
    <xf numFmtId="0" fontId="17" fillId="0" borderId="0" xfId="1" applyFont="1" applyAlignment="1">
      <alignment horizontal="left" vertical="top" wrapText="1"/>
    </xf>
    <xf numFmtId="0" fontId="19" fillId="0" borderId="0" xfId="4" applyAlignment="1" applyProtection="1">
      <alignment horizontal="left" vertical="top"/>
    </xf>
    <xf numFmtId="0" fontId="20" fillId="6" borderId="0" xfId="1" applyFont="1" applyFill="1" applyAlignment="1">
      <alignment horizontal="right" vertical="top"/>
    </xf>
    <xf numFmtId="0" fontId="21" fillId="5" borderId="0" xfId="1" applyFont="1" applyFill="1" applyAlignment="1">
      <alignment horizontal="right" vertical="center" wrapText="1"/>
    </xf>
    <xf numFmtId="2" fontId="20" fillId="6" borderId="0" xfId="1" applyNumberFormat="1" applyFont="1" applyFill="1" applyAlignment="1">
      <alignment horizontal="right" vertical="top"/>
    </xf>
    <xf numFmtId="0" fontId="4" fillId="0" borderId="0" xfId="1" applyFont="1" applyAlignment="1">
      <alignment horizontal="center" vertical="top"/>
    </xf>
    <xf numFmtId="49" fontId="7" fillId="0" borderId="0" xfId="1" applyNumberFormat="1" applyFont="1" applyAlignment="1">
      <alignment horizontal="right" vertical="top"/>
    </xf>
    <xf numFmtId="0" fontId="3" fillId="4" borderId="0" xfId="1" applyFont="1" applyFill="1" applyAlignment="1">
      <alignment vertical="top" wrapText="1"/>
    </xf>
    <xf numFmtId="0" fontId="3" fillId="4" borderId="0" xfId="1" applyFont="1" applyFill="1" applyAlignment="1">
      <alignment vertical="center" wrapText="1"/>
    </xf>
    <xf numFmtId="7" fontId="10" fillId="2" borderId="0" xfId="1" applyNumberFormat="1" applyFont="1" applyFill="1" applyAlignment="1">
      <alignment horizontal="right" wrapText="1"/>
    </xf>
    <xf numFmtId="177" fontId="8" fillId="0" borderId="0" xfId="1" applyNumberFormat="1" applyFont="1" applyAlignment="1">
      <alignment horizontal="right" wrapText="1"/>
    </xf>
    <xf numFmtId="9" fontId="0" fillId="0" borderId="0" xfId="0" applyNumberFormat="1"/>
    <xf numFmtId="49" fontId="4" fillId="0" borderId="0" xfId="1" applyNumberFormat="1" applyFont="1" applyAlignment="1">
      <alignment horizontal="right" vertical="top"/>
    </xf>
    <xf numFmtId="0" fontId="11" fillId="0" borderId="0" xfId="1" applyFont="1" applyAlignment="1">
      <alignment horizontal="right" vertical="top" wrapText="1"/>
    </xf>
    <xf numFmtId="0" fontId="13" fillId="0" borderId="0" xfId="1" applyFont="1" applyAlignment="1">
      <alignment horizontal="right" vertical="top" wrapText="1"/>
    </xf>
    <xf numFmtId="0" fontId="21" fillId="7" borderId="0" xfId="1" applyFont="1" applyFill="1" applyAlignment="1">
      <alignment horizontal="right" vertical="center" wrapText="1"/>
    </xf>
    <xf numFmtId="2" fontId="21" fillId="7" borderId="0" xfId="1" applyNumberFormat="1" applyFont="1" applyFill="1" applyAlignment="1">
      <alignment horizontal="right" vertical="center" wrapText="1"/>
    </xf>
    <xf numFmtId="9" fontId="18" fillId="7" borderId="0" xfId="3" applyFont="1" applyFill="1" applyBorder="1" applyAlignment="1">
      <alignment horizontal="right" wrapText="1"/>
    </xf>
    <xf numFmtId="5" fontId="10" fillId="8" borderId="0" xfId="1" applyNumberFormat="1" applyFont="1" applyFill="1" applyAlignment="1">
      <alignment horizontal="right" wrapText="1"/>
    </xf>
    <xf numFmtId="166" fontId="18" fillId="7" borderId="0" xfId="3" applyNumberFormat="1" applyFont="1" applyFill="1" applyBorder="1" applyAlignment="1">
      <alignment horizontal="right" wrapText="1"/>
    </xf>
    <xf numFmtId="5" fontId="18" fillId="8" borderId="0" xfId="1" applyNumberFormat="1" applyFont="1" applyFill="1" applyAlignment="1">
      <alignment horizontal="right" wrapText="1"/>
    </xf>
    <xf numFmtId="0" fontId="18" fillId="8" borderId="0" xfId="1" applyFont="1" applyFill="1" applyAlignment="1">
      <alignment horizontal="right" wrapText="1"/>
    </xf>
    <xf numFmtId="178" fontId="3" fillId="0" borderId="0" xfId="2" applyNumberFormat="1" applyFont="1" applyBorder="1" applyAlignment="1">
      <alignment horizontal="center" wrapText="1"/>
    </xf>
    <xf numFmtId="179" fontId="3" fillId="0" borderId="0" xfId="2" applyNumberFormat="1" applyFont="1" applyBorder="1" applyAlignment="1">
      <alignment horizontal="center" wrapText="1"/>
    </xf>
    <xf numFmtId="180" fontId="3" fillId="0" borderId="0" xfId="2" applyNumberFormat="1" applyFont="1" applyBorder="1" applyAlignment="1">
      <alignment horizontal="center" wrapText="1"/>
    </xf>
    <xf numFmtId="167" fontId="3" fillId="9" borderId="0" xfId="2" applyNumberFormat="1" applyFont="1" applyFill="1" applyBorder="1" applyAlignment="1">
      <alignment horizontal="center" vertical="center" wrapText="1"/>
    </xf>
    <xf numFmtId="0" fontId="13" fillId="10" borderId="0" xfId="1" applyFont="1" applyFill="1" applyAlignment="1">
      <alignment horizontal="center" vertical="center" wrapText="1"/>
    </xf>
    <xf numFmtId="0" fontId="13" fillId="11" borderId="0" xfId="1" applyFont="1" applyFill="1" applyAlignment="1">
      <alignment horizontal="center" vertical="center" wrapText="1"/>
    </xf>
    <xf numFmtId="0" fontId="3" fillId="11" borderId="0" xfId="1" applyFont="1" applyFill="1" applyAlignment="1">
      <alignment horizontal="center" vertical="center" wrapText="1"/>
    </xf>
    <xf numFmtId="170" fontId="11" fillId="12" borderId="0" xfId="1" applyNumberFormat="1" applyFont="1" applyFill="1" applyAlignment="1">
      <alignment horizontal="center" wrapText="1"/>
    </xf>
    <xf numFmtId="168" fontId="20" fillId="13" borderId="0" xfId="1" applyNumberFormat="1" applyFont="1" applyFill="1" applyAlignment="1">
      <alignment horizontal="center" wrapText="1"/>
    </xf>
    <xf numFmtId="168" fontId="20" fillId="14" borderId="0" xfId="1" applyNumberFormat="1" applyFont="1" applyFill="1" applyAlignment="1">
      <alignment horizontal="center" wrapText="1"/>
    </xf>
    <xf numFmtId="5" fontId="18" fillId="15" borderId="0" xfId="1" applyNumberFormat="1" applyFont="1" applyFill="1" applyAlignment="1">
      <alignment horizontal="right" wrapText="1"/>
    </xf>
    <xf numFmtId="5" fontId="18" fillId="16" borderId="0" xfId="1" applyNumberFormat="1" applyFont="1" applyFill="1" applyAlignment="1">
      <alignment horizontal="right" wrapText="1"/>
    </xf>
    <xf numFmtId="0" fontId="4" fillId="0" borderId="0" xfId="1" applyFont="1" applyAlignment="1">
      <alignment vertical="top"/>
    </xf>
    <xf numFmtId="167" fontId="13" fillId="17" borderId="0" xfId="2" applyNumberFormat="1" applyFont="1" applyFill="1" applyBorder="1" applyAlignment="1">
      <alignment horizontal="center" vertical="center" wrapText="1"/>
    </xf>
    <xf numFmtId="5" fontId="8" fillId="0" borderId="0" xfId="1" applyNumberFormat="1" applyFont="1" applyAlignment="1">
      <alignment horizontal="right" wrapText="1"/>
    </xf>
    <xf numFmtId="166" fontId="3" fillId="0" borderId="0" xfId="3" applyNumberFormat="1" applyFont="1" applyFill="1" applyBorder="1" applyAlignment="1">
      <alignment horizontal="center" wrapText="1"/>
    </xf>
    <xf numFmtId="175" fontId="8" fillId="0" borderId="0" xfId="1" applyNumberFormat="1" applyFont="1" applyAlignment="1">
      <alignment horizontal="right" wrapText="1"/>
    </xf>
    <xf numFmtId="166" fontId="3" fillId="0" borderId="0" xfId="2" applyNumberFormat="1" applyFont="1" applyFill="1" applyBorder="1" applyAlignment="1">
      <alignment horizontal="center" wrapText="1"/>
    </xf>
    <xf numFmtId="165" fontId="3" fillId="0" borderId="0" xfId="1" applyNumberFormat="1" applyFont="1" applyAlignment="1">
      <alignment horizontal="center" wrapText="1"/>
    </xf>
    <xf numFmtId="181" fontId="8" fillId="0" borderId="0" xfId="1" applyNumberFormat="1" applyFont="1" applyAlignment="1">
      <alignment horizontal="center" wrapText="1"/>
    </xf>
    <xf numFmtId="0" fontId="27" fillId="0" borderId="0" xfId="1" applyFont="1" applyAlignment="1">
      <alignment horizontal="left" vertical="center"/>
    </xf>
    <xf numFmtId="176" fontId="27" fillId="0" borderId="0" xfId="1" applyNumberFormat="1" applyFont="1" applyAlignment="1">
      <alignment horizontal="right" vertical="center"/>
    </xf>
    <xf numFmtId="0" fontId="28" fillId="0" borderId="1" xfId="1" applyFont="1" applyBorder="1" applyAlignment="1">
      <alignment horizontal="left" vertical="center"/>
    </xf>
    <xf numFmtId="176" fontId="28" fillId="0" borderId="1" xfId="1" applyNumberFormat="1" applyFont="1" applyBorder="1" applyAlignment="1">
      <alignment horizontal="right" vertical="center"/>
    </xf>
    <xf numFmtId="49" fontId="3" fillId="0" borderId="0" xfId="1" applyNumberFormat="1" applyFont="1" applyAlignment="1">
      <alignment vertical="top" wrapText="1"/>
    </xf>
    <xf numFmtId="0" fontId="12" fillId="14" borderId="0" xfId="1" applyFont="1" applyFill="1" applyAlignment="1">
      <alignment horizontal="left" vertical="center" wrapText="1"/>
    </xf>
    <xf numFmtId="0" fontId="12" fillId="13" borderId="0" xfId="1" applyFont="1" applyFill="1" applyAlignment="1">
      <alignment horizontal="left" vertical="center" wrapText="1"/>
    </xf>
    <xf numFmtId="0" fontId="4" fillId="0" borderId="0" xfId="1" applyFont="1" applyAlignment="1">
      <alignment horizontal="right" vertical="center"/>
    </xf>
    <xf numFmtId="0" fontId="15" fillId="4" borderId="0" xfId="1" applyFont="1" applyFill="1" applyAlignment="1">
      <alignment horizontal="left" vertical="top" wrapText="1"/>
    </xf>
    <xf numFmtId="0" fontId="30" fillId="14" borderId="0" xfId="1" applyFont="1" applyFill="1" applyAlignment="1">
      <alignment horizontal="left" vertical="center" wrapText="1"/>
    </xf>
    <xf numFmtId="0" fontId="22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/>
    </xf>
    <xf numFmtId="49" fontId="3" fillId="0" borderId="0" xfId="1" applyNumberFormat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/>
    </xf>
  </cellXfs>
  <cellStyles count="6">
    <cellStyle name="Comma 2" xfId="2" xr:uid="{0F7DB8B1-F86E-FF4A-88E7-3DC6243CB936}"/>
    <cellStyle name="Comma 2 2" xfId="5" xr:uid="{3133E2F0-83A6-4552-A762-498C173B2FF9}"/>
    <cellStyle name="Hyperlink 2" xfId="4" xr:uid="{E907AD78-BBB7-4C18-9AF3-DD037AC3CF3B}"/>
    <cellStyle name="Normal 2" xfId="1" xr:uid="{87E24653-8984-064C-8E96-82102F6A72B4}"/>
    <cellStyle name="Percent 2" xfId="3" xr:uid="{4B6843A8-9F61-49D3-AD41-A721757EC7F7}"/>
    <cellStyle name="Standard" xfId="0" builtinId="0"/>
  </cellStyles>
  <dxfs count="0"/>
  <tableStyles count="0" defaultTableStyle="TableStyleMedium2" defaultPivotStyle="PivotStyleLight16"/>
  <colors>
    <mruColors>
      <color rgb="FF97A513"/>
      <color rgb="FFBCCA18"/>
      <color rgb="FFB4B414"/>
      <color rgb="FF8C8C14"/>
      <color rgb="FFD8E8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109537</xdr:colOff>
      <xdr:row>0</xdr:row>
      <xdr:rowOff>71438</xdr:rowOff>
    </xdr:from>
    <xdr:ext cx="1524564" cy="776287"/>
    <xdr:pic>
      <xdr:nvPicPr>
        <xdr:cNvPr id="3" name="Picture 3">
          <a:extLst>
            <a:ext uri="{FF2B5EF4-FFF2-40B4-BE49-F238E27FC236}">
              <a16:creationId xmlns:a16="http://schemas.microsoft.com/office/drawing/2014/main" id="{F63008A0-1B4A-4A72-B4C3-A491D0909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" y="71438"/>
          <a:ext cx="1524564" cy="776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109537</xdr:colOff>
      <xdr:row>0</xdr:row>
      <xdr:rowOff>71438</xdr:rowOff>
    </xdr:from>
    <xdr:ext cx="1524564" cy="776287"/>
    <xdr:pic>
      <xdr:nvPicPr>
        <xdr:cNvPr id="2" name="Picture 3">
          <a:extLst>
            <a:ext uri="{FF2B5EF4-FFF2-40B4-BE49-F238E27FC236}">
              <a16:creationId xmlns:a16="http://schemas.microsoft.com/office/drawing/2014/main" id="{FEE3E6D8-69E3-4B85-A072-1EADAF68C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" y="71438"/>
          <a:ext cx="1524564" cy="776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2E029-EB60-4F48-8A0C-1A74288DB4BC}">
  <sheetPr>
    <pageSetUpPr fitToPage="1"/>
  </sheetPr>
  <dimension ref="A1:W72"/>
  <sheetViews>
    <sheetView showGridLines="0" tabSelected="1" topLeftCell="A20" zoomScale="80" zoomScaleNormal="80" workbookViewId="0">
      <selection activeCell="B14" sqref="B14"/>
    </sheetView>
  </sheetViews>
  <sheetFormatPr baseColWidth="10" defaultColWidth="10.875" defaultRowHeight="15.75" outlineLevelRow="1" outlineLevelCol="1" x14ac:dyDescent="0.25"/>
  <cols>
    <col min="1" max="1" width="33.625" style="20" customWidth="1"/>
    <col min="2" max="2" width="13" style="20" bestFit="1" customWidth="1"/>
    <col min="3" max="3" width="3.625" style="20" customWidth="1"/>
    <col min="4" max="4" width="11.375" style="20" customWidth="1"/>
    <col min="5" max="5" width="3.625" style="20" customWidth="1"/>
    <col min="6" max="9" width="15.625" style="23" customWidth="1"/>
    <col min="10" max="10" width="3.625" style="23" customWidth="1"/>
    <col min="11" max="13" width="15.625" style="20" customWidth="1"/>
    <col min="14" max="14" width="15.625" style="22" customWidth="1"/>
    <col min="15" max="15" width="15.625" style="23" customWidth="1"/>
    <col min="16" max="16" width="15.625" style="21" customWidth="1"/>
    <col min="17" max="17" width="16.625" style="20" customWidth="1" outlineLevel="1"/>
    <col min="18" max="18" width="13.375" style="20" customWidth="1" outlineLevel="1"/>
    <col min="19" max="20" width="10.875" style="20"/>
    <col min="21" max="21" width="10.875" style="20" customWidth="1"/>
    <col min="22" max="22" width="15.75" style="20" hidden="1" customWidth="1"/>
    <col min="23" max="23" width="10.875" style="20" hidden="1" customWidth="1"/>
    <col min="24" max="24" width="10.875" style="20" customWidth="1"/>
    <col min="25" max="16384" width="10.875" style="20"/>
  </cols>
  <sheetData>
    <row r="1" spans="1:23" ht="84.75" customHeight="1" x14ac:dyDescent="0.25">
      <c r="A1" s="2"/>
      <c r="B1" s="95" t="s">
        <v>0</v>
      </c>
      <c r="C1" s="95"/>
      <c r="D1" s="95"/>
      <c r="E1" s="95"/>
      <c r="F1" s="95"/>
      <c r="G1" s="95"/>
      <c r="H1" s="95"/>
      <c r="I1" s="95"/>
    </row>
    <row r="2" spans="1:23" ht="16.5" customHeight="1" x14ac:dyDescent="0.25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spans="1:23" outlineLevel="1" x14ac:dyDescent="0.25">
      <c r="A3" s="98" t="s">
        <v>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</row>
    <row r="4" spans="1:23" outlineLevel="1" x14ac:dyDescent="0.25">
      <c r="A4" s="5" t="s">
        <v>3</v>
      </c>
      <c r="B4" s="6">
        <v>10</v>
      </c>
      <c r="C4" s="6"/>
      <c r="D4" s="96" t="s">
        <v>4</v>
      </c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</row>
    <row r="5" spans="1:23" outlineLevel="1" x14ac:dyDescent="0.25">
      <c r="A5" s="5" t="s">
        <v>3</v>
      </c>
      <c r="B5" s="6">
        <v>40</v>
      </c>
      <c r="C5" s="6"/>
      <c r="D5" s="96" t="s">
        <v>5</v>
      </c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</row>
    <row r="6" spans="1:23" outlineLevel="1" x14ac:dyDescent="0.25">
      <c r="A6" s="5" t="s">
        <v>6</v>
      </c>
      <c r="B6" s="6">
        <v>4187</v>
      </c>
      <c r="C6" s="6"/>
      <c r="D6" s="96" t="s">
        <v>7</v>
      </c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</row>
    <row r="7" spans="1:23" outlineLevel="1" x14ac:dyDescent="0.25">
      <c r="A7" s="5" t="s">
        <v>8</v>
      </c>
      <c r="B7" s="6">
        <v>1000</v>
      </c>
      <c r="C7" s="6"/>
      <c r="D7" s="96" t="s">
        <v>9</v>
      </c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</row>
    <row r="8" spans="1:23" outlineLevel="1" x14ac:dyDescent="0.25">
      <c r="A8" s="55" t="s">
        <v>10</v>
      </c>
      <c r="B8" s="59">
        <f>((B23*60)-20)/(B23*60)</f>
        <v>0.96168582375478928</v>
      </c>
      <c r="C8" s="6"/>
      <c r="D8" s="7" t="s">
        <v>11</v>
      </c>
      <c r="E8" s="7"/>
      <c r="F8" s="7"/>
      <c r="G8" s="7"/>
      <c r="H8" s="7"/>
      <c r="I8" s="7"/>
      <c r="J8" s="7"/>
      <c r="K8" s="7"/>
      <c r="L8" s="7"/>
      <c r="M8" s="7"/>
      <c r="N8" s="7"/>
      <c r="O8" s="6"/>
      <c r="P8" s="7"/>
      <c r="Q8" s="7"/>
    </row>
    <row r="9" spans="1:23" outlineLevel="1" x14ac:dyDescent="0.25">
      <c r="A9" s="55" t="s">
        <v>10</v>
      </c>
      <c r="B9" s="58">
        <v>0.95</v>
      </c>
      <c r="C9" s="6"/>
      <c r="D9" s="7" t="s">
        <v>12</v>
      </c>
      <c r="E9" s="7"/>
      <c r="F9" s="7"/>
      <c r="G9" s="7"/>
      <c r="H9" s="7"/>
      <c r="I9" s="7"/>
      <c r="J9" s="7"/>
      <c r="K9" s="7"/>
      <c r="L9" s="7"/>
      <c r="M9" s="7"/>
      <c r="N9" s="7"/>
      <c r="O9" s="6"/>
      <c r="P9" s="7"/>
      <c r="Q9" s="7"/>
    </row>
    <row r="10" spans="1:23" ht="15.75" customHeight="1" outlineLevel="1" x14ac:dyDescent="0.25">
      <c r="A10" s="55" t="s">
        <v>10</v>
      </c>
      <c r="B10" s="58">
        <v>2</v>
      </c>
      <c r="C10" s="6"/>
      <c r="D10" s="7" t="s">
        <v>13</v>
      </c>
      <c r="E10" s="7"/>
      <c r="F10" s="6"/>
      <c r="G10" s="6"/>
      <c r="H10" s="6"/>
      <c r="I10" s="6"/>
      <c r="J10" s="6"/>
      <c r="K10" s="7"/>
      <c r="L10" s="7"/>
      <c r="M10" s="7"/>
      <c r="N10" s="8"/>
      <c r="O10" s="6"/>
      <c r="P10" s="48"/>
      <c r="Q10" s="7"/>
    </row>
    <row r="11" spans="1:23" ht="15.75" customHeight="1" outlineLevel="1" x14ac:dyDescent="0.25">
      <c r="A11" s="55" t="s">
        <v>10</v>
      </c>
      <c r="B11" s="58">
        <v>30</v>
      </c>
      <c r="C11" s="45"/>
      <c r="D11" s="96" t="s">
        <v>14</v>
      </c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V11" t="s">
        <v>15</v>
      </c>
      <c r="W11" s="54">
        <v>0.77</v>
      </c>
    </row>
    <row r="12" spans="1:23" ht="15.75" customHeight="1" outlineLevel="1" x14ac:dyDescent="0.25">
      <c r="A12" s="55" t="s">
        <v>10</v>
      </c>
      <c r="B12" s="58">
        <v>0.77</v>
      </c>
      <c r="C12" s="45"/>
      <c r="D12" s="96" t="s">
        <v>16</v>
      </c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V12" t="s">
        <v>17</v>
      </c>
      <c r="W12" s="54">
        <v>0.51</v>
      </c>
    </row>
    <row r="13" spans="1:23" ht="15.75" customHeight="1" outlineLevel="1" x14ac:dyDescent="0.25">
      <c r="A13" s="55" t="s">
        <v>10</v>
      </c>
      <c r="B13" s="60">
        <v>0.1</v>
      </c>
      <c r="C13" s="9"/>
      <c r="D13" s="9" t="s">
        <v>18</v>
      </c>
      <c r="E13" s="9"/>
      <c r="F13" s="9"/>
      <c r="G13" s="9"/>
      <c r="H13" s="9"/>
      <c r="I13" s="9"/>
      <c r="J13" s="9"/>
      <c r="K13" s="9"/>
      <c r="L13" s="9"/>
      <c r="M13" s="9"/>
      <c r="N13" s="10"/>
      <c r="O13" s="55"/>
      <c r="P13" s="9"/>
      <c r="Q13" s="9"/>
    </row>
    <row r="14" spans="1:23" ht="15.75" customHeight="1" outlineLevel="1" x14ac:dyDescent="0.25">
      <c r="A14" s="55" t="s">
        <v>10</v>
      </c>
      <c r="B14" s="61">
        <v>50</v>
      </c>
      <c r="C14" s="9"/>
      <c r="D14" s="11" t="s">
        <v>19</v>
      </c>
      <c r="E14" s="7"/>
      <c r="F14" s="7"/>
      <c r="G14" s="7"/>
      <c r="H14" s="7"/>
      <c r="I14" s="7"/>
      <c r="J14" s="7"/>
      <c r="K14" s="7"/>
      <c r="L14" s="7"/>
      <c r="M14" s="7"/>
      <c r="N14" s="8"/>
      <c r="O14" s="6"/>
      <c r="P14" s="7"/>
      <c r="Q14" s="7"/>
    </row>
    <row r="15" spans="1:23" ht="15.75" customHeight="1" outlineLevel="1" x14ac:dyDescent="0.25">
      <c r="A15" s="55" t="s">
        <v>10</v>
      </c>
      <c r="B15" s="61">
        <v>0</v>
      </c>
      <c r="C15" s="9"/>
      <c r="D15" s="11" t="s">
        <v>20</v>
      </c>
      <c r="E15" s="7"/>
      <c r="F15" s="7"/>
      <c r="G15" s="7"/>
      <c r="H15" s="7"/>
      <c r="I15" s="7"/>
      <c r="J15" s="7"/>
      <c r="K15" s="44"/>
      <c r="L15" s="7"/>
      <c r="M15" s="7"/>
      <c r="N15" s="8"/>
      <c r="O15" s="6"/>
      <c r="P15" s="7"/>
      <c r="Q15" s="7"/>
    </row>
    <row r="16" spans="1:23" ht="15.75" customHeight="1" outlineLevel="1" x14ac:dyDescent="0.25">
      <c r="A16" s="55" t="s">
        <v>10</v>
      </c>
      <c r="B16" s="62">
        <v>2E-3</v>
      </c>
      <c r="C16" s="9"/>
      <c r="D16" s="11" t="s">
        <v>21</v>
      </c>
      <c r="E16" s="7"/>
      <c r="F16" s="7"/>
      <c r="G16" s="7"/>
      <c r="H16" s="7"/>
      <c r="I16" s="7"/>
      <c r="J16" s="7"/>
      <c r="K16" s="7"/>
      <c r="L16" s="7"/>
      <c r="M16" s="7"/>
      <c r="N16" s="8"/>
      <c r="O16" s="6"/>
      <c r="P16" s="7"/>
      <c r="Q16" s="7"/>
    </row>
    <row r="17" spans="1:23" ht="15.75" customHeight="1" outlineLevel="1" x14ac:dyDescent="0.25">
      <c r="A17" s="55" t="s">
        <v>10</v>
      </c>
      <c r="B17" s="63">
        <v>850</v>
      </c>
      <c r="C17" s="9"/>
      <c r="D17" s="11" t="s">
        <v>22</v>
      </c>
      <c r="E17" s="7"/>
      <c r="F17" s="7"/>
      <c r="G17" s="7"/>
      <c r="H17" s="7"/>
      <c r="I17" s="7"/>
      <c r="J17" s="7"/>
      <c r="K17" s="7"/>
      <c r="L17" s="7"/>
      <c r="M17" s="7"/>
      <c r="N17" s="8"/>
      <c r="O17" s="6"/>
      <c r="P17" s="7"/>
      <c r="Q17" s="7"/>
    </row>
    <row r="18" spans="1:23" ht="15.75" customHeight="1" outlineLevel="1" x14ac:dyDescent="0.25">
      <c r="A18" s="55" t="s">
        <v>10</v>
      </c>
      <c r="B18" s="64">
        <v>15</v>
      </c>
      <c r="C18" s="9"/>
      <c r="D18" s="11" t="s">
        <v>23</v>
      </c>
      <c r="E18" s="7"/>
      <c r="F18" s="7"/>
      <c r="G18" s="7"/>
      <c r="H18" s="7"/>
      <c r="I18" s="7"/>
      <c r="J18" s="7"/>
      <c r="K18" s="7"/>
      <c r="L18" s="7"/>
      <c r="M18" s="7"/>
      <c r="N18" s="8"/>
      <c r="O18" s="6"/>
      <c r="P18" s="7"/>
      <c r="Q18" s="7"/>
    </row>
    <row r="19" spans="1:23" ht="15.75" customHeight="1" outlineLevel="1" x14ac:dyDescent="0.25">
      <c r="A19" s="55" t="s">
        <v>10</v>
      </c>
      <c r="B19" s="64">
        <v>12</v>
      </c>
      <c r="C19" s="9"/>
      <c r="D19" s="11" t="s">
        <v>24</v>
      </c>
      <c r="E19" s="7"/>
      <c r="F19" s="7"/>
      <c r="G19" s="7"/>
      <c r="H19" s="7"/>
      <c r="I19" s="7"/>
      <c r="J19" s="7"/>
      <c r="K19" s="7"/>
      <c r="L19" s="7"/>
      <c r="M19" s="7"/>
      <c r="N19" s="8"/>
      <c r="O19" s="6"/>
      <c r="P19" s="7"/>
      <c r="Q19" s="7"/>
    </row>
    <row r="20" spans="1:23" ht="15.75" customHeight="1" outlineLevel="1" x14ac:dyDescent="0.25">
      <c r="A20" s="55" t="s">
        <v>10</v>
      </c>
      <c r="B20" s="64">
        <v>3192</v>
      </c>
      <c r="C20" s="9"/>
      <c r="D20" s="11" t="s">
        <v>25</v>
      </c>
      <c r="E20" s="7"/>
      <c r="F20" s="7"/>
      <c r="G20" s="7"/>
      <c r="H20" s="7"/>
      <c r="I20" s="7"/>
      <c r="J20" s="7"/>
      <c r="K20" s="7"/>
      <c r="L20" s="7"/>
      <c r="M20" s="7"/>
      <c r="N20" s="8"/>
      <c r="O20" s="6"/>
      <c r="P20" s="7"/>
      <c r="Q20" s="7"/>
    </row>
    <row r="21" spans="1:23" ht="15.75" customHeight="1" x14ac:dyDescent="0.25">
      <c r="A21" s="55" t="s">
        <v>26</v>
      </c>
      <c r="B21" s="75">
        <v>1934</v>
      </c>
      <c r="C21" s="9"/>
      <c r="D21" s="9" t="s">
        <v>27</v>
      </c>
      <c r="E21" s="23"/>
      <c r="K21" s="9"/>
      <c r="L21" s="9"/>
      <c r="M21" s="9"/>
      <c r="N21" s="10"/>
      <c r="O21" s="55"/>
      <c r="P21" s="9"/>
      <c r="Q21" s="9"/>
    </row>
    <row r="22" spans="1:23" ht="15.75" customHeight="1" x14ac:dyDescent="0.25">
      <c r="A22" s="55" t="s">
        <v>26</v>
      </c>
      <c r="B22" s="76">
        <v>2179</v>
      </c>
      <c r="C22" s="9"/>
      <c r="D22" s="9" t="s">
        <v>28</v>
      </c>
      <c r="E22" s="9"/>
      <c r="K22" s="9"/>
      <c r="L22" s="9"/>
      <c r="M22" s="9"/>
      <c r="N22" s="10"/>
      <c r="O22" s="55"/>
      <c r="P22" s="9"/>
      <c r="Q22" s="9"/>
    </row>
    <row r="23" spans="1:23" ht="15.75" customHeight="1" x14ac:dyDescent="0.25">
      <c r="A23" s="49" t="s">
        <v>29</v>
      </c>
      <c r="B23" s="1">
        <v>8.6999999999999993</v>
      </c>
      <c r="C23" s="45"/>
      <c r="D23" s="77" t="s">
        <v>30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</row>
    <row r="24" spans="1:23" ht="15.75" customHeight="1" x14ac:dyDescent="0.25">
      <c r="A24" s="49" t="s">
        <v>29</v>
      </c>
      <c r="B24" s="46">
        <v>360</v>
      </c>
      <c r="C24" s="45"/>
      <c r="D24" s="77" t="s">
        <v>31</v>
      </c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</row>
    <row r="25" spans="1:23" ht="15.75" customHeight="1" x14ac:dyDescent="0.25">
      <c r="A25" s="49" t="s">
        <v>29</v>
      </c>
      <c r="B25" s="46">
        <v>3</v>
      </c>
      <c r="C25" s="45"/>
      <c r="D25" s="77" t="s">
        <v>32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</row>
    <row r="26" spans="1:23" ht="15.75" customHeight="1" x14ac:dyDescent="0.25">
      <c r="A26" s="49" t="s">
        <v>29</v>
      </c>
      <c r="B26" s="52">
        <v>0.183</v>
      </c>
      <c r="C26" s="47"/>
      <c r="D26" s="77" t="s">
        <v>33</v>
      </c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V26" t="s">
        <v>34</v>
      </c>
      <c r="W26" s="54">
        <v>0.78</v>
      </c>
    </row>
    <row r="27" spans="1:23" x14ac:dyDescent="0.25">
      <c r="J27" s="67"/>
    </row>
    <row r="28" spans="1:23" ht="57.95" customHeight="1" x14ac:dyDescent="0.25">
      <c r="A28" s="93" t="s">
        <v>35</v>
      </c>
      <c r="B28" s="93"/>
      <c r="C28" s="33"/>
      <c r="D28" s="32" t="s">
        <v>36</v>
      </c>
      <c r="F28" s="78" t="s">
        <v>37</v>
      </c>
      <c r="G28" s="68" t="s">
        <v>38</v>
      </c>
      <c r="H28" s="68" t="s">
        <v>39</v>
      </c>
      <c r="I28" s="68" t="s">
        <v>40</v>
      </c>
      <c r="J28" s="67"/>
      <c r="K28" s="69" t="s">
        <v>41</v>
      </c>
      <c r="L28" s="70" t="s">
        <v>42</v>
      </c>
      <c r="M28" s="71" t="s">
        <v>43</v>
      </c>
      <c r="N28" s="71" t="s">
        <v>44</v>
      </c>
      <c r="O28" s="71" t="s">
        <v>45</v>
      </c>
      <c r="P28" s="71" t="s">
        <v>46</v>
      </c>
      <c r="Q28" s="12" t="s">
        <v>47</v>
      </c>
      <c r="R28" s="51" t="s">
        <v>48</v>
      </c>
    </row>
    <row r="29" spans="1:23" ht="9.75" customHeight="1" x14ac:dyDescent="0.25">
      <c r="A29" s="43"/>
      <c r="B29" s="43"/>
      <c r="C29" s="33"/>
      <c r="D29" s="33"/>
      <c r="F29" s="20"/>
      <c r="G29" s="20"/>
      <c r="H29" s="20"/>
      <c r="I29" s="20"/>
      <c r="J29" s="67"/>
      <c r="O29" s="56"/>
      <c r="P29" s="42"/>
    </row>
    <row r="30" spans="1:23" ht="30" customHeight="1" x14ac:dyDescent="0.25">
      <c r="A30" s="94" t="s">
        <v>49</v>
      </c>
      <c r="B30" s="94"/>
      <c r="C30" s="36"/>
      <c r="D30" s="74">
        <v>5.8</v>
      </c>
      <c r="E30" s="37"/>
      <c r="F30" s="26">
        <f>($D30*$B$7/1000*$B$23*$B$6*($B$5-$B$10-$B$4)*$B$24*$B$25*Q30)/3600000/$B$12*$B$8*$B$9</f>
        <v>530.63528845090889</v>
      </c>
      <c r="G30" s="65">
        <f>F30*1000/$B$19</f>
        <v>44219.607370909071</v>
      </c>
      <c r="H30" s="66">
        <f>F30/$B$18*100</f>
        <v>3537.5685896727264</v>
      </c>
      <c r="I30" s="67">
        <f>H30/$B$20</f>
        <v>1.1082608363636361</v>
      </c>
      <c r="J30" s="67"/>
      <c r="K30" s="53">
        <f>F30*$B$26</f>
        <v>97.106257786516323</v>
      </c>
      <c r="L30" s="72">
        <f>$B$34/K30</f>
        <v>9.686296449275865</v>
      </c>
      <c r="M30" s="84">
        <f>$B$34/N30</f>
        <v>5.9086408340582777E-2</v>
      </c>
      <c r="N30" s="35">
        <f>F30*$B$11</f>
        <v>15919.058653527267</v>
      </c>
      <c r="O30" s="79">
        <f>N30*$B$26</f>
        <v>2913.1877335954896</v>
      </c>
      <c r="P30" s="80">
        <f>POWER(O30/$B$34,1/$B$11)-1-$B$16</f>
        <v>3.6401842232759662E-2</v>
      </c>
      <c r="Q30" s="13">
        <v>0.252</v>
      </c>
      <c r="R30" s="4" t="s">
        <v>50</v>
      </c>
    </row>
    <row r="31" spans="1:23" ht="20.100000000000001" customHeight="1" x14ac:dyDescent="0.25">
      <c r="A31" s="85" t="s">
        <v>51</v>
      </c>
      <c r="B31" s="86">
        <f>$B$21-($B$21*$B$13)</f>
        <v>1740.6</v>
      </c>
      <c r="C31" s="36"/>
      <c r="D31" s="74">
        <v>9.1999999999999993</v>
      </c>
      <c r="F31" s="26">
        <f>($D31*$B$7/1000*$B$23*$B$6*($B$5-$B$10-$B$4)*$B$24*$B$25*Q31)/3600000/$B$12*$B$8*$B$9</f>
        <v>784.91618338181809</v>
      </c>
      <c r="G31" s="65">
        <f t="shared" ref="G31:G34" si="0">F31*1000/$B$19</f>
        <v>65409.681948484846</v>
      </c>
      <c r="H31" s="66">
        <f t="shared" ref="H31:H40" si="1">F31/$B$18*100</f>
        <v>5232.7745558787874</v>
      </c>
      <c r="I31" s="67">
        <f t="shared" ref="I31:I40" si="2">H31/$B$20</f>
        <v>1.6393403997113996</v>
      </c>
      <c r="J31" s="67"/>
      <c r="K31" s="53">
        <f>F31*$B$26</f>
        <v>143.63966155887272</v>
      </c>
      <c r="L31" s="72">
        <f>$B$34/K31</f>
        <v>6.5483306615456058</v>
      </c>
      <c r="M31" s="84">
        <f>$B$34/N31</f>
        <v>3.9944817035428196E-2</v>
      </c>
      <c r="N31" s="35">
        <f>F31*$B$11</f>
        <v>23547.485501454543</v>
      </c>
      <c r="O31" s="79">
        <f>N31*$B$26</f>
        <v>4309.1898467661813</v>
      </c>
      <c r="P31" s="80">
        <f>POWER(O31/$B$34,1/$B$11)-1-$B$16</f>
        <v>5.0041863274587595E-2</v>
      </c>
      <c r="Q31" s="13">
        <v>0.23499999999999999</v>
      </c>
      <c r="R31" s="4" t="s">
        <v>50</v>
      </c>
    </row>
    <row r="32" spans="1:23" ht="20.100000000000001" customHeight="1" x14ac:dyDescent="0.25">
      <c r="A32" s="85" t="s">
        <v>52</v>
      </c>
      <c r="B32" s="86">
        <f>$B$14-$B$15</f>
        <v>50</v>
      </c>
      <c r="C32" s="36"/>
      <c r="D32" s="74">
        <v>12.5</v>
      </c>
      <c r="F32" s="26">
        <f>($D32*$B$7/1000*$B$23*$B$6*($B$5-$B$10-$B$4)*$B$24*$B$25*Q32)/3600000/$B$12*$B$8*$B$9</f>
        <v>948.47064249999971</v>
      </c>
      <c r="G32" s="65">
        <f t="shared" si="0"/>
        <v>79039.22020833331</v>
      </c>
      <c r="H32" s="66">
        <f t="shared" si="1"/>
        <v>6323.1376166666651</v>
      </c>
      <c r="I32" s="67">
        <f t="shared" si="2"/>
        <v>1.9809328373015869</v>
      </c>
      <c r="J32" s="67"/>
      <c r="K32" s="53">
        <f>F32*$B$26</f>
        <v>173.57012757749993</v>
      </c>
      <c r="L32" s="72">
        <f>$B$34/K32</f>
        <v>5.419135268999657</v>
      </c>
      <c r="M32" s="84">
        <f>$B$34/N32</f>
        <v>3.3056725140897907E-2</v>
      </c>
      <c r="N32" s="35">
        <f>F32*$B$11</f>
        <v>28454.11927499999</v>
      </c>
      <c r="O32" s="79">
        <f>N32*$B$26</f>
        <v>5207.1038273249978</v>
      </c>
      <c r="P32" s="80">
        <f>POWER(O32/$B$34,1/$B$11)-1-$B$16</f>
        <v>5.6700314518228767E-2</v>
      </c>
      <c r="Q32" s="13">
        <v>0.20899999999999999</v>
      </c>
      <c r="R32" s="4" t="s">
        <v>50</v>
      </c>
    </row>
    <row r="33" spans="1:18" ht="20.100000000000001" customHeight="1" x14ac:dyDescent="0.25">
      <c r="A33" s="85" t="s">
        <v>53</v>
      </c>
      <c r="B33" s="86">
        <f>$B$17</f>
        <v>850</v>
      </c>
      <c r="C33" s="36"/>
      <c r="D33" s="74">
        <v>18</v>
      </c>
      <c r="F33" s="26">
        <f>($D33*$B$7/1000*$B$23*$B$6*($B$5-$B$10-$B$4)*$B$24*$B$25*Q33)/3600000/$B$12*$B$8*$B$9</f>
        <v>1091.3311966909089</v>
      </c>
      <c r="G33" s="65">
        <f t="shared" si="0"/>
        <v>90944.266390909077</v>
      </c>
      <c r="H33" s="66">
        <f t="shared" si="1"/>
        <v>7275.5413112727256</v>
      </c>
      <c r="I33" s="67">
        <f t="shared" si="2"/>
        <v>2.2793049220779213</v>
      </c>
      <c r="J33" s="67"/>
      <c r="K33" s="53">
        <f>F33*$B$26</f>
        <v>199.71360899443633</v>
      </c>
      <c r="L33" s="72">
        <f>$B$34/K33</f>
        <v>4.7097441418035935</v>
      </c>
      <c r="M33" s="84">
        <f>$B$34/N33</f>
        <v>2.8729439265001922E-2</v>
      </c>
      <c r="N33" s="35">
        <f>F33*$B$11</f>
        <v>32739.935900727265</v>
      </c>
      <c r="O33" s="79">
        <f>N33*$B$26</f>
        <v>5991.4082698330894</v>
      </c>
      <c r="P33" s="80">
        <f>POWER(O33/$B$34,1/$B$11)-1-$B$16</f>
        <v>6.166319339662385E-2</v>
      </c>
      <c r="Q33" s="13">
        <v>0.16700000000000001</v>
      </c>
      <c r="R33" s="4" t="s">
        <v>50</v>
      </c>
    </row>
    <row r="34" spans="1:18" ht="20.100000000000001" customHeight="1" x14ac:dyDescent="0.25">
      <c r="A34" s="87" t="s">
        <v>54</v>
      </c>
      <c r="B34" s="88">
        <f>B31+B32-B33</f>
        <v>940.59999999999991</v>
      </c>
      <c r="C34" s="36"/>
      <c r="D34" s="74">
        <v>24</v>
      </c>
      <c r="E34" s="29"/>
      <c r="F34" s="26">
        <f>($D34*$B$7/1000*$B$23*$B$6*($B$5-$B$10-$B$4)*$B$24*$B$25*Q34)/3600000/$B$12*$B$8*$B$9</f>
        <v>1128.3623949818182</v>
      </c>
      <c r="G34" s="65">
        <f t="shared" si="0"/>
        <v>94030.199581818189</v>
      </c>
      <c r="H34" s="66">
        <f t="shared" si="1"/>
        <v>7522.4159665454554</v>
      </c>
      <c r="I34" s="67">
        <f t="shared" si="2"/>
        <v>2.3566466060606062</v>
      </c>
      <c r="J34" s="67"/>
      <c r="K34" s="53">
        <f>F34*$B$26</f>
        <v>206.49031828167273</v>
      </c>
      <c r="L34" s="72">
        <f>$B$34/K34</f>
        <v>4.5551772491189189</v>
      </c>
      <c r="M34" s="84">
        <f>$B$34/N34</f>
        <v>2.7786581219625402E-2</v>
      </c>
      <c r="N34" s="35">
        <f>F34*$B$11</f>
        <v>33850.871849454546</v>
      </c>
      <c r="O34" s="79">
        <f>N34*$B$26</f>
        <v>6194.7095484501815</v>
      </c>
      <c r="P34" s="80">
        <f>POWER(O34/$B$34,1/$B$11)-1-$B$16</f>
        <v>6.2846969209701564E-2</v>
      </c>
      <c r="Q34" s="13">
        <v>0.1295</v>
      </c>
      <c r="R34" s="4" t="s">
        <v>50</v>
      </c>
    </row>
    <row r="35" spans="1:18" ht="9.75" customHeight="1" x14ac:dyDescent="0.25">
      <c r="A35" s="30"/>
      <c r="B35" s="29"/>
      <c r="C35" s="36"/>
      <c r="D35" s="41"/>
      <c r="E35" s="29"/>
      <c r="F35" s="28"/>
      <c r="G35" s="28"/>
      <c r="H35" s="28"/>
      <c r="I35" s="28"/>
      <c r="J35" s="67"/>
      <c r="K35" s="28"/>
      <c r="L35" s="72"/>
      <c r="M35" s="40"/>
      <c r="N35" s="39"/>
      <c r="O35" s="81"/>
      <c r="P35" s="82"/>
      <c r="Q35" s="38"/>
      <c r="R35" s="4"/>
    </row>
    <row r="36" spans="1:18" ht="30" customHeight="1" x14ac:dyDescent="0.25">
      <c r="A36" s="91" t="s">
        <v>55</v>
      </c>
      <c r="B36" s="91"/>
      <c r="C36" s="36"/>
      <c r="D36" s="73">
        <v>5.8</v>
      </c>
      <c r="E36" s="37"/>
      <c r="F36" s="26">
        <f>($D36*$B$7/1000*$B$23*$B$6*($B$5-$B$10-$B$4)*$B$24*$B$25*Q36)/3600000/$B$12*$B$8*$B$9</f>
        <v>805.42856282727234</v>
      </c>
      <c r="G36" s="65">
        <f>F36*1000/$B$19</f>
        <v>67119.04690227269</v>
      </c>
      <c r="H36" s="66">
        <f t="shared" si="1"/>
        <v>5369.5237521818153</v>
      </c>
      <c r="I36" s="67">
        <f t="shared" si="2"/>
        <v>1.6821816266233758</v>
      </c>
      <c r="J36" s="67"/>
      <c r="K36" s="53">
        <f>F36*$B$26</f>
        <v>147.39342699739083</v>
      </c>
      <c r="L36" s="72">
        <f>$B$40/K36</f>
        <v>7.8775561682309876</v>
      </c>
      <c r="M36" s="84">
        <f>$B$40/N36</f>
        <v>4.8053092626209021E-2</v>
      </c>
      <c r="N36" s="35">
        <f>F36*$B$11</f>
        <v>24162.856884818171</v>
      </c>
      <c r="O36" s="79">
        <f>N36*$B$26</f>
        <v>4421.8028099217254</v>
      </c>
      <c r="P36" s="80">
        <f>POWER(O36/$B$40,1/$B$11)-1-$B$16</f>
        <v>4.358094087206088E-2</v>
      </c>
      <c r="Q36" s="13">
        <v>0.38250000000000001</v>
      </c>
      <c r="R36" s="4" t="s">
        <v>50</v>
      </c>
    </row>
    <row r="37" spans="1:18" ht="20.100000000000001" customHeight="1" x14ac:dyDescent="0.25">
      <c r="A37" s="85" t="s">
        <v>51</v>
      </c>
      <c r="B37" s="86">
        <f>$B$22-($B$22*$B$13)</f>
        <v>1961.1</v>
      </c>
      <c r="C37" s="36"/>
      <c r="D37" s="73">
        <v>9.1999999999999993</v>
      </c>
      <c r="F37" s="26">
        <f>($D37*$B$7/1000*$B$23*$B$6*($B$5-$B$10-$B$4)*$B$24*$B$25*Q37)/3600000/$B$12*$B$8*$B$9</f>
        <v>1139.2974900065451</v>
      </c>
      <c r="G37" s="65">
        <f t="shared" ref="G37:G40" si="3">F37*1000/$B$19</f>
        <v>94941.457500545424</v>
      </c>
      <c r="H37" s="66">
        <f t="shared" si="1"/>
        <v>7595.316600043634</v>
      </c>
      <c r="I37" s="67">
        <f t="shared" si="2"/>
        <v>2.3794851503896095</v>
      </c>
      <c r="J37" s="67"/>
      <c r="K37" s="53">
        <f>F37*$B$26</f>
        <v>208.49144067119775</v>
      </c>
      <c r="L37" s="72">
        <f>$B$40/K37</f>
        <v>5.5690535604822129</v>
      </c>
      <c r="M37" s="84">
        <f>$B$40/N37</f>
        <v>3.3971226718941497E-2</v>
      </c>
      <c r="N37" s="35">
        <f>F37*$B$11</f>
        <v>34178.924700196352</v>
      </c>
      <c r="O37" s="79">
        <f>N37*$B$26</f>
        <v>6254.7432201359325</v>
      </c>
      <c r="P37" s="80">
        <f>POWER(O37/$B$40,1/$B$11)-1-$B$16</f>
        <v>5.5737728089096716E-2</v>
      </c>
      <c r="Q37" s="13">
        <v>0.34110000000000001</v>
      </c>
      <c r="R37" s="4" t="s">
        <v>50</v>
      </c>
    </row>
    <row r="38" spans="1:18" ht="20.100000000000001" customHeight="1" x14ac:dyDescent="0.25">
      <c r="A38" s="85" t="s">
        <v>52</v>
      </c>
      <c r="B38" s="86">
        <f>$B$14-$B$15</f>
        <v>50</v>
      </c>
      <c r="C38" s="36"/>
      <c r="D38" s="73">
        <v>12.5</v>
      </c>
      <c r="F38" s="26">
        <f>($D38*$B$7/1000*$B$23*$B$6*($B$5-$B$10-$B$4)*$B$24*$B$25*Q38)/3600000/$B$12*$B$8*$B$9</f>
        <v>1375.5093384772722</v>
      </c>
      <c r="G38" s="65">
        <f t="shared" si="3"/>
        <v>114625.77820643935</v>
      </c>
      <c r="H38" s="66">
        <f t="shared" si="1"/>
        <v>9170.062256515148</v>
      </c>
      <c r="I38" s="67">
        <f t="shared" si="2"/>
        <v>2.8728265214646456</v>
      </c>
      <c r="J38" s="67"/>
      <c r="K38" s="53">
        <f>F38*$B$26</f>
        <v>251.71820894134081</v>
      </c>
      <c r="L38" s="72">
        <f>$B$40/K38</f>
        <v>4.6126976863663325</v>
      </c>
      <c r="M38" s="84">
        <f>$B$40/N38</f>
        <v>2.8137455886834632E-2</v>
      </c>
      <c r="N38" s="35">
        <f>F38*$B$11</f>
        <v>41265.280154318163</v>
      </c>
      <c r="O38" s="79">
        <f>N38*$B$26</f>
        <v>7551.546268240224</v>
      </c>
      <c r="P38" s="80">
        <f>POWER(O38/$B$40,1/$B$11)-1-$B$16</f>
        <v>6.2401657298317037E-2</v>
      </c>
      <c r="Q38" s="13">
        <v>0.30309999999999998</v>
      </c>
      <c r="R38" s="4" t="s">
        <v>50</v>
      </c>
    </row>
    <row r="39" spans="1:18" ht="20.100000000000001" customHeight="1" x14ac:dyDescent="0.25">
      <c r="A39" s="85" t="s">
        <v>53</v>
      </c>
      <c r="B39" s="86">
        <f>$B$17</f>
        <v>850</v>
      </c>
      <c r="C39" s="36"/>
      <c r="D39" s="73">
        <v>18</v>
      </c>
      <c r="F39" s="26">
        <f>($D39*$B$7/1000*$B$23*$B$6*($B$5-$B$10-$B$4)*$B$24*$B$25*Q39)/3600000/$B$12*$B$8*$B$9</f>
        <v>1633.0758446290909</v>
      </c>
      <c r="G39" s="65">
        <f t="shared" si="3"/>
        <v>136089.65371909089</v>
      </c>
      <c r="H39" s="66">
        <f t="shared" si="1"/>
        <v>10887.172297527271</v>
      </c>
      <c r="I39" s="67">
        <f t="shared" si="2"/>
        <v>3.4107682636363634</v>
      </c>
      <c r="J39" s="67"/>
      <c r="K39" s="53">
        <f>F39*$B$26</f>
        <v>298.85287956712364</v>
      </c>
      <c r="L39" s="72">
        <f>$B$40/K39</f>
        <v>3.8851892666445327</v>
      </c>
      <c r="M39" s="84">
        <f>$B$40/N39</f>
        <v>2.3699654526531649E-2</v>
      </c>
      <c r="N39" s="35">
        <f>F39*$B$11</f>
        <v>48992.275338872729</v>
      </c>
      <c r="O39" s="79">
        <f>N39*$B$26</f>
        <v>8965.5863870137091</v>
      </c>
      <c r="P39" s="80">
        <f>POWER(O39/$B$40,1/$B$11)-1-$B$16</f>
        <v>6.8508949785597961E-2</v>
      </c>
      <c r="Q39" s="13">
        <v>0.24990000000000001</v>
      </c>
      <c r="R39" s="4" t="s">
        <v>50</v>
      </c>
    </row>
    <row r="40" spans="1:18" ht="20.100000000000001" customHeight="1" x14ac:dyDescent="0.25">
      <c r="A40" s="87" t="s">
        <v>56</v>
      </c>
      <c r="B40" s="88">
        <f>B37+B38-B39</f>
        <v>1161.0999999999999</v>
      </c>
      <c r="C40" s="36"/>
      <c r="D40" s="73">
        <v>24</v>
      </c>
      <c r="F40" s="26">
        <f>($D40*$B$7/1000*$B$23*$B$6*($B$5-$B$10-$B$4)*$B$24*$B$25*Q40)/3600000/$B$12*$B$8*$B$9</f>
        <v>1773.1409063999997</v>
      </c>
      <c r="G40" s="65">
        <f t="shared" si="3"/>
        <v>147761.74219999998</v>
      </c>
      <c r="H40" s="66">
        <f t="shared" si="1"/>
        <v>11820.939375999998</v>
      </c>
      <c r="I40" s="67">
        <f t="shared" si="2"/>
        <v>3.7033018095238091</v>
      </c>
      <c r="J40" s="67"/>
      <c r="K40" s="53">
        <f>F40*$B$26</f>
        <v>324.48478587119996</v>
      </c>
      <c r="L40" s="72">
        <f>$B$40/K40</f>
        <v>3.5782879523383371</v>
      </c>
      <c r="M40" s="84">
        <f>$B$40/N40</f>
        <v>2.1827556509263858E-2</v>
      </c>
      <c r="N40" s="35">
        <f>F40*$B$11</f>
        <v>53194.227191999991</v>
      </c>
      <c r="O40" s="79">
        <f>N40*$B$26</f>
        <v>9734.5435761359986</v>
      </c>
      <c r="P40" s="80">
        <f>POWER(O40/$B$40,1/$B$11)-1-$B$16</f>
        <v>7.1449288025098534E-2</v>
      </c>
      <c r="Q40" s="13">
        <v>0.20349999999999999</v>
      </c>
      <c r="R40" s="4" t="s">
        <v>50</v>
      </c>
    </row>
    <row r="41" spans="1:18" ht="20.100000000000001" customHeight="1" x14ac:dyDescent="0.25">
      <c r="A41" s="34"/>
      <c r="J41" s="67"/>
    </row>
    <row r="42" spans="1:18" ht="57.95" customHeight="1" x14ac:dyDescent="0.25">
      <c r="A42" s="93" t="s">
        <v>57</v>
      </c>
      <c r="B42" s="93"/>
      <c r="C42" s="33"/>
      <c r="D42" s="32" t="s">
        <v>36</v>
      </c>
      <c r="F42" s="78" t="s">
        <v>37</v>
      </c>
      <c r="G42" s="68" t="s">
        <v>38</v>
      </c>
      <c r="H42" s="68" t="s">
        <v>39</v>
      </c>
      <c r="I42" s="68" t="s">
        <v>40</v>
      </c>
      <c r="J42" s="67"/>
      <c r="K42" s="69" t="s">
        <v>41</v>
      </c>
      <c r="L42" s="70" t="s">
        <v>42</v>
      </c>
      <c r="M42" s="71" t="s">
        <v>43</v>
      </c>
      <c r="N42" s="71" t="s">
        <v>44</v>
      </c>
      <c r="O42" s="71" t="s">
        <v>45</v>
      </c>
      <c r="P42" s="71" t="s">
        <v>46</v>
      </c>
      <c r="Q42" s="12" t="s">
        <v>58</v>
      </c>
      <c r="R42" s="51" t="s">
        <v>48</v>
      </c>
    </row>
    <row r="43" spans="1:18" ht="9.75" customHeight="1" x14ac:dyDescent="0.25">
      <c r="F43" s="15"/>
      <c r="G43" s="20"/>
      <c r="H43" s="20"/>
      <c r="I43" s="20"/>
      <c r="J43" s="67"/>
      <c r="K43" s="16"/>
      <c r="O43" s="57"/>
      <c r="P43" s="31"/>
    </row>
    <row r="44" spans="1:18" ht="30" customHeight="1" x14ac:dyDescent="0.25">
      <c r="A44" s="90" t="s">
        <v>49</v>
      </c>
      <c r="B44" s="90"/>
      <c r="D44" s="74">
        <v>5.8</v>
      </c>
      <c r="F44" s="26">
        <f>($D44*$B$7/1000*$B$23*$B$6*($B$5-$B$10-$B$4)*$B$24*$B$25*Q44)/3600000/$B$12*$B$8*$B$9</f>
        <v>652.13392394145421</v>
      </c>
      <c r="G44" s="65">
        <f>F44*1000/$B$19</f>
        <v>54344.493661787856</v>
      </c>
      <c r="H44" s="66">
        <f>F44/$B$18*100</f>
        <v>4347.5594929430281</v>
      </c>
      <c r="I44" s="67">
        <f>H44/$B$20</f>
        <v>1.3620173850072144</v>
      </c>
      <c r="J44" s="67"/>
      <c r="K44" s="53">
        <f>F44*$B$26</f>
        <v>119.34050808128612</v>
      </c>
      <c r="L44" s="72">
        <f>$B$48/K44</f>
        <v>7.8816490320229846</v>
      </c>
      <c r="M44" s="84">
        <f>$B$48/N44</f>
        <v>4.80780590953402E-2</v>
      </c>
      <c r="N44" s="25">
        <f>F44*$B$11</f>
        <v>19564.017718243627</v>
      </c>
      <c r="O44" s="79">
        <f>N44*$B$26</f>
        <v>3580.2152424385836</v>
      </c>
      <c r="P44" s="80">
        <f>POWER(O44/$B$48,1/$B$11)-1-$B$16</f>
        <v>4.3562837660343412E-2</v>
      </c>
      <c r="Q44" s="13">
        <v>0.30969999999999998</v>
      </c>
      <c r="R44" s="4" t="s">
        <v>59</v>
      </c>
    </row>
    <row r="45" spans="1:18" ht="20.100000000000001" customHeight="1" x14ac:dyDescent="0.25">
      <c r="A45" s="85" t="s">
        <v>51</v>
      </c>
      <c r="B45" s="86">
        <f>$B$21-($B$21*$B$13)</f>
        <v>1740.6</v>
      </c>
      <c r="D45" s="74">
        <v>9.1999999999999993</v>
      </c>
      <c r="F45" s="26">
        <f>($D45*$B$7/1000*$B$23*$B$6*($B$5-$B$10-$B$4)*$B$24*$B$25*Q45)/3600000/$B$12*$B$8*$B$9</f>
        <v>900.81657301309076</v>
      </c>
      <c r="G45" s="65">
        <f t="shared" ref="G45:G48" si="4">F45*1000/$B$19</f>
        <v>75068.047751090897</v>
      </c>
      <c r="H45" s="66">
        <f t="shared" ref="H45:H48" si="5">F45/$B$18*100</f>
        <v>6005.4438200872719</v>
      </c>
      <c r="I45" s="67">
        <f t="shared" ref="I45:I54" si="6">H45/$B$20</f>
        <v>1.8814047055411254</v>
      </c>
      <c r="J45" s="67"/>
      <c r="K45" s="53">
        <f>F45*$B$26</f>
        <v>164.8494328613956</v>
      </c>
      <c r="L45" s="72">
        <f>$B$48/K45</f>
        <v>5.7058127751695125</v>
      </c>
      <c r="M45" s="84">
        <f>$B$48/N45</f>
        <v>3.4805457928534025E-2</v>
      </c>
      <c r="N45" s="25">
        <f>F45*$B$11</f>
        <v>27024.497190392722</v>
      </c>
      <c r="O45" s="79">
        <f>N45*$B$26</f>
        <v>4945.482985841868</v>
      </c>
      <c r="P45" s="80">
        <f>POWER(O45/$B$48,1/$B$11)-1-$B$16</f>
        <v>5.4882705394069253E-2</v>
      </c>
      <c r="Q45" s="13">
        <v>0.2697</v>
      </c>
      <c r="R45" s="4" t="s">
        <v>59</v>
      </c>
    </row>
    <row r="46" spans="1:18" ht="20.100000000000001" customHeight="1" x14ac:dyDescent="0.25">
      <c r="A46" s="85" t="s">
        <v>52</v>
      </c>
      <c r="B46" s="86">
        <f>$B$14-$B$15</f>
        <v>50</v>
      </c>
      <c r="D46" s="74">
        <v>12.5</v>
      </c>
      <c r="F46" s="26">
        <f>($D46*$B$7/1000*$B$23*$B$6*($B$5-$B$10-$B$4)*$B$24*$B$25*Q46)/3600000/$B$12*$B$8*$B$9</f>
        <v>1077.3537345909087</v>
      </c>
      <c r="G46" s="65">
        <f t="shared" si="4"/>
        <v>89779.477882575724</v>
      </c>
      <c r="H46" s="66">
        <f t="shared" si="5"/>
        <v>7182.3582306060589</v>
      </c>
      <c r="I46" s="67">
        <f t="shared" si="6"/>
        <v>2.2501122276334771</v>
      </c>
      <c r="J46" s="67"/>
      <c r="K46" s="53">
        <f>F46*$B$26</f>
        <v>197.15573343013631</v>
      </c>
      <c r="L46" s="72">
        <f>$B$48/K46</f>
        <v>4.7708478147469595</v>
      </c>
      <c r="M46" s="84">
        <f>$B$48/N46</f>
        <v>2.9102171669956454E-2</v>
      </c>
      <c r="N46" s="25">
        <f>F46*$B$11</f>
        <v>32320.612037727264</v>
      </c>
      <c r="O46" s="79">
        <f>N46*$B$26</f>
        <v>5914.6720029040889</v>
      </c>
      <c r="P46" s="80">
        <f>POWER(O46/$B$48,1/$B$11)-1-$B$16</f>
        <v>6.120625521766776E-2</v>
      </c>
      <c r="Q46" s="13">
        <v>0.2374</v>
      </c>
      <c r="R46" s="4" t="s">
        <v>59</v>
      </c>
    </row>
    <row r="47" spans="1:18" ht="20.100000000000001" customHeight="1" x14ac:dyDescent="0.25">
      <c r="A47" s="85" t="s">
        <v>53</v>
      </c>
      <c r="B47" s="86">
        <f>$B$17</f>
        <v>850</v>
      </c>
      <c r="D47" s="74">
        <v>18</v>
      </c>
      <c r="F47" s="26">
        <f>($D47*$B$7/1000*$B$23*$B$6*($B$5-$B$10-$B$4)*$B$24*$B$25*Q47)/3600000/$B$12*$B$8*$B$9</f>
        <v>1222.0295435999997</v>
      </c>
      <c r="G47" s="65">
        <f t="shared" si="4"/>
        <v>101835.79529999998</v>
      </c>
      <c r="H47" s="66">
        <f t="shared" si="5"/>
        <v>8146.8636239999978</v>
      </c>
      <c r="I47" s="67">
        <f t="shared" si="6"/>
        <v>2.5522755714285705</v>
      </c>
      <c r="J47" s="67"/>
      <c r="K47" s="53">
        <f>F47*$B$26</f>
        <v>223.63140647879993</v>
      </c>
      <c r="L47" s="72">
        <f>$B$48/K47</f>
        <v>4.2060281908085573</v>
      </c>
      <c r="M47" s="84">
        <f>$B$48/N47</f>
        <v>2.56567719639322E-2</v>
      </c>
      <c r="N47" s="25">
        <f>F47*$B$11</f>
        <v>36660.886307999986</v>
      </c>
      <c r="O47" s="79">
        <f>N47*$B$26</f>
        <v>6708.9421943639973</v>
      </c>
      <c r="P47" s="80">
        <f>POWER(O47/$B$48,1/$B$11)-1-$B$16</f>
        <v>6.5681298893552231E-2</v>
      </c>
      <c r="Q47" s="13">
        <v>0.187</v>
      </c>
      <c r="R47" s="4" t="s">
        <v>59</v>
      </c>
    </row>
    <row r="48" spans="1:18" ht="20.100000000000001" customHeight="1" x14ac:dyDescent="0.25">
      <c r="A48" s="87" t="s">
        <v>54</v>
      </c>
      <c r="B48" s="88">
        <f>B45+B46-B47</f>
        <v>940.59999999999991</v>
      </c>
      <c r="D48" s="74">
        <v>24</v>
      </c>
      <c r="F48" s="26">
        <f>($D48*$B$7/1000*$B$23*$B$6*($B$5-$B$10-$B$4)*$B$24*$B$25*Q48)/3600000/$B$12*$B$8*$B$9</f>
        <v>1249.4761964509089</v>
      </c>
      <c r="G48" s="65">
        <f t="shared" si="4"/>
        <v>104123.01637090907</v>
      </c>
      <c r="H48" s="66">
        <f t="shared" si="5"/>
        <v>8329.8413096727254</v>
      </c>
      <c r="I48" s="67">
        <f t="shared" si="6"/>
        <v>2.6095994077922073</v>
      </c>
      <c r="J48" s="67"/>
      <c r="K48" s="53">
        <f>F48*$B$26</f>
        <v>228.65414395051633</v>
      </c>
      <c r="L48" s="72">
        <f>$B$48/K48</f>
        <v>4.1136363581652722</v>
      </c>
      <c r="M48" s="84">
        <f>$B$48/N48</f>
        <v>2.5093181784808162E-2</v>
      </c>
      <c r="N48" s="25">
        <f>F48*$B$11</f>
        <v>37484.285893527267</v>
      </c>
      <c r="O48" s="79">
        <f>N48*$B$26</f>
        <v>6859.6243185154899</v>
      </c>
      <c r="P48" s="80">
        <f>POWER(O48/$B$48,1/$B$11)-1-$B$16</f>
        <v>6.6472080899005803E-2</v>
      </c>
      <c r="Q48" s="13">
        <v>0.1434</v>
      </c>
      <c r="R48" s="4" t="s">
        <v>59</v>
      </c>
    </row>
    <row r="49" spans="1:18" ht="9.75" customHeight="1" x14ac:dyDescent="0.25">
      <c r="A49" s="30"/>
      <c r="B49" s="29"/>
      <c r="F49" s="28"/>
      <c r="G49" s="28"/>
      <c r="H49" s="28"/>
      <c r="I49" s="28"/>
      <c r="J49" s="28"/>
      <c r="K49" s="24"/>
      <c r="L49" s="72"/>
      <c r="M49" s="27"/>
      <c r="O49" s="81"/>
      <c r="P49" s="83"/>
      <c r="Q49" s="17"/>
      <c r="R49" s="4"/>
    </row>
    <row r="50" spans="1:18" ht="30" customHeight="1" x14ac:dyDescent="0.25">
      <c r="A50" s="91" t="s">
        <v>55</v>
      </c>
      <c r="B50" s="91"/>
      <c r="D50" s="73">
        <v>5.8</v>
      </c>
      <c r="F50" s="26">
        <f>($D50*$B$7/1000*$B$23*$B$6*($B$5-$B$10-$B$4)*$B$24*$B$25*Q50)/3600000/$B$12*$B$8*$B$9</f>
        <v>885.86613433054515</v>
      </c>
      <c r="G50" s="65">
        <f>F50*1000/$B$19</f>
        <v>73822.177860878772</v>
      </c>
      <c r="H50" s="66">
        <f t="shared" ref="H50:H54" si="7">F50/$B$18*100</f>
        <v>5905.7742288703012</v>
      </c>
      <c r="I50" s="67">
        <f t="shared" si="6"/>
        <v>1.8501798962626257</v>
      </c>
      <c r="J50" s="67"/>
      <c r="K50" s="53">
        <f>F50*$B$26</f>
        <v>162.11350258248976</v>
      </c>
      <c r="L50" s="72">
        <f>$B$54/K50</f>
        <v>7.1622658292092991</v>
      </c>
      <c r="M50" s="84">
        <f>$B$54/N50</f>
        <v>4.3689821558176724E-2</v>
      </c>
      <c r="N50" s="25">
        <f>F50*$B$11</f>
        <v>26575.984029916355</v>
      </c>
      <c r="O50" s="79">
        <f>N50*$B$26</f>
        <v>4863.4050774746929</v>
      </c>
      <c r="P50" s="80">
        <f>POWER(O50/$B$54,1/$B$11)-1-$B$16</f>
        <v>4.69038849438288E-2</v>
      </c>
      <c r="Q50" s="13">
        <v>0.42070000000000002</v>
      </c>
      <c r="R50" s="4" t="s">
        <v>59</v>
      </c>
    </row>
    <row r="51" spans="1:18" ht="20.100000000000001" customHeight="1" x14ac:dyDescent="0.25">
      <c r="A51" s="85" t="s">
        <v>51</v>
      </c>
      <c r="B51" s="86">
        <f>$B$22-($B$22*$B$13)</f>
        <v>1961.1</v>
      </c>
      <c r="D51" s="73">
        <v>9.1999999999999993</v>
      </c>
      <c r="F51" s="26">
        <f>($D51*$B$7/1000*$B$23*$B$6*($B$5-$B$10-$B$4)*$B$24*$B$25*Q51)/3600000/$B$12*$B$8*$B$9</f>
        <v>1302.9608644138179</v>
      </c>
      <c r="G51" s="65">
        <f t="shared" ref="G51:G54" si="8">F51*1000/$B$19</f>
        <v>108580.07203448482</v>
      </c>
      <c r="H51" s="66">
        <f t="shared" si="7"/>
        <v>8686.4057627587863</v>
      </c>
      <c r="I51" s="67">
        <f t="shared" si="6"/>
        <v>2.7213050635209228</v>
      </c>
      <c r="J51" s="67"/>
      <c r="K51" s="53">
        <f>F51*$B$26</f>
        <v>238.44183818772868</v>
      </c>
      <c r="L51" s="72">
        <f>$B$54/K51</f>
        <v>4.8695313239694507</v>
      </c>
      <c r="M51" s="84">
        <f>$B$54/N51</f>
        <v>2.9704141076213646E-2</v>
      </c>
      <c r="N51" s="25">
        <f>F51*$B$11</f>
        <v>39088.82593241454</v>
      </c>
      <c r="O51" s="79">
        <f>N51*$B$26</f>
        <v>7153.2551456318606</v>
      </c>
      <c r="P51" s="80">
        <f>POWER(O51/$B$54,1/$B$11)-1-$B$16</f>
        <v>6.0480911724429598E-2</v>
      </c>
      <c r="Q51" s="13">
        <v>0.3901</v>
      </c>
      <c r="R51" s="4" t="s">
        <v>59</v>
      </c>
    </row>
    <row r="52" spans="1:18" ht="20.100000000000001" customHeight="1" x14ac:dyDescent="0.25">
      <c r="A52" s="85" t="s">
        <v>52</v>
      </c>
      <c r="B52" s="86">
        <f>$B$14-$B$15</f>
        <v>50</v>
      </c>
      <c r="D52" s="73">
        <v>12.5</v>
      </c>
      <c r="F52" s="26">
        <f>($D52*$B$7/1000*$B$23*$B$6*($B$5-$B$10-$B$4)*$B$24*$B$25*Q52)/3600000/$B$12*$B$8*$B$9</f>
        <v>1584.7174562727268</v>
      </c>
      <c r="G52" s="65">
        <f t="shared" si="8"/>
        <v>132059.78802272724</v>
      </c>
      <c r="H52" s="66">
        <f t="shared" si="7"/>
        <v>10564.783041818178</v>
      </c>
      <c r="I52" s="67">
        <f t="shared" si="6"/>
        <v>3.3097691233766224</v>
      </c>
      <c r="J52" s="67"/>
      <c r="K52" s="53">
        <f>F52*$B$26</f>
        <v>290.003294497909</v>
      </c>
      <c r="L52" s="72">
        <f>$B$54/K52</f>
        <v>4.0037476195235833</v>
      </c>
      <c r="M52" s="84">
        <f>$B$54/N52</f>
        <v>2.4422860479093859E-2</v>
      </c>
      <c r="N52" s="25">
        <f>F52*$B$11</f>
        <v>47541.523688181805</v>
      </c>
      <c r="O52" s="79">
        <f>N52*$B$26</f>
        <v>8700.098834937271</v>
      </c>
      <c r="P52" s="80">
        <f>POWER(O52/$B$54,1/$B$11)-1-$B$16</f>
        <v>6.7436868140194894E-2</v>
      </c>
      <c r="Q52" s="13">
        <v>0.34920000000000001</v>
      </c>
      <c r="R52" s="4" t="s">
        <v>59</v>
      </c>
    </row>
    <row r="53" spans="1:18" ht="20.100000000000001" customHeight="1" x14ac:dyDescent="0.25">
      <c r="A53" s="85" t="s">
        <v>53</v>
      </c>
      <c r="B53" s="86">
        <f>$B$17</f>
        <v>850</v>
      </c>
      <c r="D53" s="73">
        <v>18</v>
      </c>
      <c r="F53" s="26">
        <f>($D53*$B$7/1000*$B$23*$B$6*($B$5-$B$10-$B$4)*$B$24*$B$25*Q53)/3600000/$B$12*$B$8*$B$9</f>
        <v>1870.2933442690905</v>
      </c>
      <c r="G53" s="65">
        <f t="shared" si="8"/>
        <v>155857.77868909089</v>
      </c>
      <c r="H53" s="66">
        <f t="shared" si="7"/>
        <v>12468.62229512727</v>
      </c>
      <c r="I53" s="67">
        <f t="shared" si="6"/>
        <v>3.9062099922077915</v>
      </c>
      <c r="J53" s="67"/>
      <c r="K53" s="53">
        <f>F53*$B$26</f>
        <v>342.26368200124358</v>
      </c>
      <c r="L53" s="72">
        <f>$B$54/K53</f>
        <v>3.3924136887996816</v>
      </c>
      <c r="M53" s="84">
        <f>$B$54/N53</f>
        <v>2.0693723501678061E-2</v>
      </c>
      <c r="N53" s="25">
        <f>F53*$B$11</f>
        <v>56108.800328072713</v>
      </c>
      <c r="O53" s="79">
        <f>N53*$B$26</f>
        <v>10267.910460037307</v>
      </c>
      <c r="P53" s="80">
        <f>POWER(O53/$B$54,1/$B$11)-1-$B$16</f>
        <v>7.335967860512782E-2</v>
      </c>
      <c r="Q53" s="13">
        <v>0.28620000000000001</v>
      </c>
      <c r="R53" s="4" t="s">
        <v>59</v>
      </c>
    </row>
    <row r="54" spans="1:18" ht="20.100000000000001" customHeight="1" x14ac:dyDescent="0.25">
      <c r="A54" s="87" t="s">
        <v>56</v>
      </c>
      <c r="B54" s="88">
        <f>B51+B52-B53</f>
        <v>1161.0999999999999</v>
      </c>
      <c r="D54" s="73">
        <v>24</v>
      </c>
      <c r="F54" s="26">
        <f>($D54*$B$7/1000*$B$23*$B$6*($B$5-$B$10-$B$4)*$B$24*$B$25*Q54)/3600000/$B$12*$B$8*$B$9</f>
        <v>2210.5447073890905</v>
      </c>
      <c r="G54" s="65">
        <f t="shared" si="8"/>
        <v>184212.05894909089</v>
      </c>
      <c r="H54" s="66">
        <f t="shared" si="7"/>
        <v>14736.964715927268</v>
      </c>
      <c r="I54" s="67">
        <f t="shared" si="6"/>
        <v>4.6168435826839813</v>
      </c>
      <c r="J54" s="67"/>
      <c r="K54" s="53">
        <f>F54*$B$26</f>
        <v>404.52968145220353</v>
      </c>
      <c r="L54" s="72">
        <f>$B$54/K54</f>
        <v>2.8702467414302393</v>
      </c>
      <c r="M54" s="84">
        <f>$B$54/N54</f>
        <v>1.750850512272446E-2</v>
      </c>
      <c r="N54" s="25">
        <f>F54*$B$11</f>
        <v>66316.341221672716</v>
      </c>
      <c r="O54" s="79">
        <f>N54*$B$26</f>
        <v>12135.890443566106</v>
      </c>
      <c r="P54" s="80">
        <f>POWER(O54/$B$54,1/$B$11)-1-$B$16</f>
        <v>7.9367718672830989E-2</v>
      </c>
      <c r="Q54" s="13">
        <v>0.25369999999999998</v>
      </c>
      <c r="R54" s="4" t="s">
        <v>59</v>
      </c>
    </row>
    <row r="55" spans="1:18" ht="17.25" customHeight="1" x14ac:dyDescent="0.25">
      <c r="R55" s="24"/>
    </row>
    <row r="72" spans="6:16" x14ac:dyDescent="0.25">
      <c r="F72" s="20"/>
      <c r="G72" s="20"/>
      <c r="H72" s="20"/>
      <c r="I72" s="20"/>
      <c r="J72" s="20"/>
      <c r="L72" s="18"/>
      <c r="N72" s="92"/>
      <c r="O72" s="92"/>
      <c r="P72" s="19"/>
    </row>
  </sheetData>
  <mergeCells count="16">
    <mergeCell ref="B1:I1"/>
    <mergeCell ref="D11:Q11"/>
    <mergeCell ref="D12:Q12"/>
    <mergeCell ref="D7:Q7"/>
    <mergeCell ref="A2:Q2"/>
    <mergeCell ref="A3:Q3"/>
    <mergeCell ref="D4:Q4"/>
    <mergeCell ref="D5:Q5"/>
    <mergeCell ref="D6:Q6"/>
    <mergeCell ref="A44:B44"/>
    <mergeCell ref="A50:B50"/>
    <mergeCell ref="N72:O72"/>
    <mergeCell ref="A28:B28"/>
    <mergeCell ref="A30:B30"/>
    <mergeCell ref="A36:B36"/>
    <mergeCell ref="A42:B42"/>
  </mergeCells>
  <dataValidations count="1">
    <dataValidation type="list" allowBlank="1" showInputMessage="1" showErrorMessage="1" sqref="D12:K12" xr:uid="{13986E36-DE14-44A3-8365-CF28105EF9E1}">
      <formula1>Warmwasseraufbereitung</formula1>
    </dataValidation>
  </dataValidations>
  <pageMargins left="0.7" right="0.7" top="0.75" bottom="0.75" header="0.3" footer="0.3"/>
  <pageSetup paperSize="9" scale="43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63BAE-ACE2-4F4F-B73C-2E40D371F6C8}">
  <sheetPr>
    <pageSetUpPr fitToPage="1"/>
  </sheetPr>
  <dimension ref="A1:W72"/>
  <sheetViews>
    <sheetView showGridLines="0" zoomScale="80" zoomScaleNormal="80" workbookViewId="0">
      <selection activeCell="A3" sqref="A3:Q3"/>
    </sheetView>
  </sheetViews>
  <sheetFormatPr baseColWidth="10" defaultColWidth="10.875" defaultRowHeight="15.75" outlineLevelRow="1" outlineLevelCol="1" x14ac:dyDescent="0.25"/>
  <cols>
    <col min="1" max="1" width="33.625" style="20" customWidth="1"/>
    <col min="2" max="2" width="13" style="20" bestFit="1" customWidth="1"/>
    <col min="3" max="3" width="3.625" style="20" customWidth="1"/>
    <col min="4" max="4" width="13.625" style="20" customWidth="1"/>
    <col min="5" max="5" width="3.625" style="20" customWidth="1"/>
    <col min="6" max="9" width="15.625" style="23" customWidth="1"/>
    <col min="10" max="10" width="3.625" style="23" customWidth="1"/>
    <col min="11" max="13" width="15.625" style="20" customWidth="1"/>
    <col min="14" max="14" width="15.625" style="22" customWidth="1"/>
    <col min="15" max="15" width="15.625" style="23" customWidth="1"/>
    <col min="16" max="16" width="15.625" style="21" customWidth="1"/>
    <col min="17" max="17" width="16.625" style="20" hidden="1" customWidth="1" outlineLevel="1"/>
    <col min="18" max="18" width="13.375" style="20" hidden="1" customWidth="1" outlineLevel="1"/>
    <col min="19" max="19" width="10.875" style="20" collapsed="1"/>
    <col min="20" max="20" width="10.875" style="20"/>
    <col min="21" max="21" width="10.875" style="20" customWidth="1"/>
    <col min="22" max="22" width="15.75" style="20" hidden="1" customWidth="1"/>
    <col min="23" max="23" width="10.875" style="20" hidden="1" customWidth="1"/>
    <col min="24" max="24" width="10.875" style="20" customWidth="1"/>
    <col min="25" max="16384" width="10.875" style="20"/>
  </cols>
  <sheetData>
    <row r="1" spans="1:23" ht="84.75" customHeight="1" x14ac:dyDescent="0.25">
      <c r="A1" s="2"/>
      <c r="B1" s="95" t="s">
        <v>60</v>
      </c>
      <c r="C1" s="95"/>
      <c r="D1" s="95"/>
      <c r="E1" s="95"/>
      <c r="F1" s="95"/>
      <c r="G1" s="95"/>
      <c r="H1" s="95"/>
      <c r="I1" s="95"/>
    </row>
    <row r="2" spans="1:23" ht="16.5" customHeight="1" x14ac:dyDescent="0.25">
      <c r="A2" s="89" t="s">
        <v>1</v>
      </c>
    </row>
    <row r="3" spans="1:23" outlineLevel="1" x14ac:dyDescent="0.25">
      <c r="A3" s="98" t="s">
        <v>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</row>
    <row r="4" spans="1:23" outlineLevel="1" x14ac:dyDescent="0.25">
      <c r="A4" s="5" t="s">
        <v>3</v>
      </c>
      <c r="B4" s="6">
        <v>10</v>
      </c>
      <c r="C4" s="6"/>
      <c r="D4" s="96" t="s">
        <v>4</v>
      </c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</row>
    <row r="5" spans="1:23" outlineLevel="1" x14ac:dyDescent="0.25">
      <c r="A5" s="5" t="s">
        <v>3</v>
      </c>
      <c r="B5" s="6">
        <v>40</v>
      </c>
      <c r="C5" s="6"/>
      <c r="D5" s="96" t="s">
        <v>5</v>
      </c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</row>
    <row r="6" spans="1:23" outlineLevel="1" x14ac:dyDescent="0.25">
      <c r="A6" s="5" t="s">
        <v>6</v>
      </c>
      <c r="B6" s="6">
        <v>4187</v>
      </c>
      <c r="C6" s="6"/>
      <c r="D6" s="96" t="s">
        <v>7</v>
      </c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</row>
    <row r="7" spans="1:23" outlineLevel="1" x14ac:dyDescent="0.25">
      <c r="A7" s="5" t="s">
        <v>8</v>
      </c>
      <c r="B7" s="6">
        <v>1000</v>
      </c>
      <c r="C7" s="6"/>
      <c r="D7" s="96" t="s">
        <v>9</v>
      </c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</row>
    <row r="8" spans="1:23" outlineLevel="1" x14ac:dyDescent="0.25">
      <c r="A8" s="55" t="s">
        <v>10</v>
      </c>
      <c r="B8" s="59">
        <f>((B23*60)-20)/(B23*60)</f>
        <v>0.95833333333333337</v>
      </c>
      <c r="C8" s="6"/>
      <c r="D8" s="7" t="s">
        <v>11</v>
      </c>
      <c r="E8" s="7"/>
      <c r="F8" s="7"/>
      <c r="G8" s="7"/>
      <c r="H8" s="7"/>
      <c r="I8" s="7"/>
      <c r="J8" s="7"/>
      <c r="K8" s="7"/>
      <c r="L8" s="7"/>
      <c r="M8" s="7"/>
      <c r="N8" s="7"/>
      <c r="O8" s="6"/>
      <c r="P8" s="7"/>
      <c r="Q8" s="7"/>
    </row>
    <row r="9" spans="1:23" outlineLevel="1" x14ac:dyDescent="0.25">
      <c r="A9" s="55" t="s">
        <v>10</v>
      </c>
      <c r="B9" s="58">
        <v>0.95</v>
      </c>
      <c r="C9" s="6"/>
      <c r="D9" s="7" t="s">
        <v>12</v>
      </c>
      <c r="E9" s="7"/>
      <c r="F9" s="7"/>
      <c r="G9" s="7"/>
      <c r="H9" s="7"/>
      <c r="I9" s="7"/>
      <c r="J9" s="7"/>
      <c r="K9" s="7"/>
      <c r="L9" s="7"/>
      <c r="M9" s="7"/>
      <c r="N9" s="7"/>
      <c r="O9" s="6"/>
      <c r="P9" s="7"/>
      <c r="Q9" s="7"/>
    </row>
    <row r="10" spans="1:23" ht="15.75" customHeight="1" outlineLevel="1" x14ac:dyDescent="0.25">
      <c r="A10" s="55" t="s">
        <v>10</v>
      </c>
      <c r="B10" s="58">
        <v>2</v>
      </c>
      <c r="C10" s="6"/>
      <c r="D10" s="7" t="s">
        <v>13</v>
      </c>
      <c r="E10" s="7"/>
      <c r="F10" s="6"/>
      <c r="G10" s="6"/>
      <c r="H10" s="6"/>
      <c r="I10" s="6"/>
      <c r="J10" s="6"/>
      <c r="K10" s="7"/>
      <c r="L10" s="7"/>
      <c r="M10" s="7"/>
      <c r="N10" s="8"/>
      <c r="O10" s="6"/>
      <c r="P10" s="48"/>
      <c r="Q10" s="7"/>
    </row>
    <row r="11" spans="1:23" ht="15.75" customHeight="1" outlineLevel="1" x14ac:dyDescent="0.25">
      <c r="A11" s="55" t="s">
        <v>10</v>
      </c>
      <c r="B11" s="58">
        <v>30</v>
      </c>
      <c r="C11" s="45"/>
      <c r="D11" s="96" t="s">
        <v>14</v>
      </c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V11" t="s">
        <v>15</v>
      </c>
      <c r="W11" s="54">
        <v>0.77</v>
      </c>
    </row>
    <row r="12" spans="1:23" ht="15.75" customHeight="1" outlineLevel="1" x14ac:dyDescent="0.25">
      <c r="A12" s="55" t="s">
        <v>10</v>
      </c>
      <c r="B12" s="58">
        <v>0.77</v>
      </c>
      <c r="C12" s="45"/>
      <c r="D12" s="96" t="s">
        <v>16</v>
      </c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V12" t="s">
        <v>17</v>
      </c>
      <c r="W12" s="54">
        <v>0.51</v>
      </c>
    </row>
    <row r="13" spans="1:23" ht="15.75" customHeight="1" outlineLevel="1" x14ac:dyDescent="0.25">
      <c r="A13" s="55" t="s">
        <v>10</v>
      </c>
      <c r="B13" s="60">
        <v>0.3</v>
      </c>
      <c r="C13" s="9"/>
      <c r="D13" s="9" t="s">
        <v>18</v>
      </c>
      <c r="E13" s="9"/>
      <c r="F13" s="9"/>
      <c r="G13" s="9"/>
      <c r="H13" s="9"/>
      <c r="I13" s="9"/>
      <c r="J13" s="9"/>
      <c r="K13" s="9"/>
      <c r="L13" s="9"/>
      <c r="M13" s="9"/>
      <c r="N13" s="10"/>
      <c r="O13" s="55"/>
      <c r="P13" s="9"/>
      <c r="Q13" s="9"/>
    </row>
    <row r="14" spans="1:23" ht="15.75" customHeight="1" outlineLevel="1" x14ac:dyDescent="0.25">
      <c r="A14" s="55" t="s">
        <v>10</v>
      </c>
      <c r="B14" s="61">
        <v>80</v>
      </c>
      <c r="C14" s="9"/>
      <c r="D14" s="11" t="s">
        <v>19</v>
      </c>
      <c r="E14" s="7"/>
      <c r="F14" s="7"/>
      <c r="G14" s="7"/>
      <c r="H14" s="7"/>
      <c r="I14" s="7"/>
      <c r="J14" s="7"/>
      <c r="K14" s="7"/>
      <c r="L14" s="7"/>
      <c r="M14" s="7"/>
      <c r="N14" s="8"/>
      <c r="O14" s="6"/>
      <c r="P14" s="7"/>
      <c r="Q14" s="7"/>
    </row>
    <row r="15" spans="1:23" ht="15.75" customHeight="1" outlineLevel="1" x14ac:dyDescent="0.25">
      <c r="A15" s="55" t="s">
        <v>10</v>
      </c>
      <c r="B15" s="61">
        <v>0</v>
      </c>
      <c r="C15" s="9"/>
      <c r="D15" s="11" t="s">
        <v>20</v>
      </c>
      <c r="E15" s="7"/>
      <c r="F15" s="7"/>
      <c r="G15" s="7"/>
      <c r="H15" s="7"/>
      <c r="I15" s="7"/>
      <c r="J15" s="7"/>
      <c r="K15" s="44"/>
      <c r="L15" s="7"/>
      <c r="M15" s="7"/>
      <c r="N15" s="8"/>
      <c r="O15" s="6"/>
      <c r="P15" s="7"/>
      <c r="Q15" s="7"/>
    </row>
    <row r="16" spans="1:23" ht="15.75" customHeight="1" outlineLevel="1" x14ac:dyDescent="0.25">
      <c r="A16" s="55" t="s">
        <v>10</v>
      </c>
      <c r="B16" s="62">
        <v>2E-3</v>
      </c>
      <c r="C16" s="9"/>
      <c r="D16" s="11" t="s">
        <v>21</v>
      </c>
      <c r="E16" s="7"/>
      <c r="F16" s="7"/>
      <c r="G16" s="7"/>
      <c r="H16" s="7"/>
      <c r="I16" s="7"/>
      <c r="J16" s="7"/>
      <c r="K16" s="7"/>
      <c r="L16" s="7"/>
      <c r="M16" s="7"/>
      <c r="N16" s="8"/>
      <c r="O16" s="6"/>
      <c r="P16" s="7"/>
      <c r="Q16" s="7"/>
    </row>
    <row r="17" spans="1:23" ht="15.75" customHeight="1" outlineLevel="1" x14ac:dyDescent="0.25">
      <c r="A17" s="55" t="s">
        <v>10</v>
      </c>
      <c r="B17" s="63">
        <v>700</v>
      </c>
      <c r="C17" s="9"/>
      <c r="D17" s="11" t="s">
        <v>22</v>
      </c>
      <c r="E17" s="7"/>
      <c r="F17" s="7"/>
      <c r="G17" s="7"/>
      <c r="H17" s="7"/>
      <c r="I17" s="7"/>
      <c r="J17" s="7"/>
      <c r="K17" s="7"/>
      <c r="L17" s="7"/>
      <c r="M17" s="7"/>
      <c r="N17" s="8"/>
      <c r="O17" s="6"/>
      <c r="P17" s="7"/>
      <c r="Q17" s="7"/>
    </row>
    <row r="18" spans="1:23" ht="15.75" customHeight="1" outlineLevel="1" x14ac:dyDescent="0.25">
      <c r="A18" s="55" t="s">
        <v>10</v>
      </c>
      <c r="B18" s="64">
        <v>15</v>
      </c>
      <c r="C18" s="9"/>
      <c r="D18" s="11" t="s">
        <v>23</v>
      </c>
      <c r="E18" s="7"/>
      <c r="F18" s="7"/>
      <c r="G18" s="7"/>
      <c r="H18" s="7"/>
      <c r="I18" s="7"/>
      <c r="J18" s="7"/>
      <c r="K18" s="7"/>
      <c r="L18" s="7"/>
      <c r="M18" s="7"/>
      <c r="N18" s="8"/>
      <c r="O18" s="6"/>
      <c r="P18" s="7"/>
      <c r="Q18" s="7"/>
    </row>
    <row r="19" spans="1:23" ht="15.75" customHeight="1" outlineLevel="1" x14ac:dyDescent="0.25">
      <c r="A19" s="55" t="s">
        <v>10</v>
      </c>
      <c r="B19" s="64">
        <v>12</v>
      </c>
      <c r="C19" s="9"/>
      <c r="D19" s="11" t="s">
        <v>24</v>
      </c>
      <c r="E19" s="7"/>
      <c r="F19" s="7"/>
      <c r="G19" s="7"/>
      <c r="H19" s="7"/>
      <c r="I19" s="7"/>
      <c r="J19" s="7"/>
      <c r="K19" s="7"/>
      <c r="L19" s="7"/>
      <c r="M19" s="7"/>
      <c r="N19" s="8"/>
      <c r="O19" s="6"/>
      <c r="P19" s="7"/>
      <c r="Q19" s="7"/>
    </row>
    <row r="20" spans="1:23" ht="15.75" customHeight="1" outlineLevel="1" x14ac:dyDescent="0.25">
      <c r="A20" s="55" t="s">
        <v>10</v>
      </c>
      <c r="B20" s="64">
        <v>3192</v>
      </c>
      <c r="C20" s="9"/>
      <c r="D20" s="11" t="s">
        <v>25</v>
      </c>
      <c r="E20" s="7"/>
      <c r="F20" s="7"/>
      <c r="G20" s="7"/>
      <c r="H20" s="7"/>
      <c r="I20" s="7"/>
      <c r="J20" s="7"/>
      <c r="K20" s="7"/>
      <c r="L20" s="7"/>
      <c r="M20" s="7"/>
      <c r="N20" s="8"/>
      <c r="O20" s="6"/>
      <c r="P20" s="7"/>
      <c r="Q20" s="7"/>
    </row>
    <row r="21" spans="1:23" ht="15.75" customHeight="1" x14ac:dyDescent="0.25">
      <c r="A21" s="55" t="s">
        <v>26</v>
      </c>
      <c r="B21" s="75">
        <v>2770</v>
      </c>
      <c r="C21" s="9"/>
      <c r="D21" s="9" t="s">
        <v>61</v>
      </c>
      <c r="E21" s="23"/>
      <c r="K21" s="9"/>
      <c r="L21" s="9"/>
      <c r="M21" s="9"/>
      <c r="N21" s="10"/>
      <c r="O21" s="55"/>
      <c r="P21" s="9"/>
      <c r="Q21" s="9"/>
    </row>
    <row r="22" spans="1:23" ht="15.75" customHeight="1" x14ac:dyDescent="0.25">
      <c r="A22" s="55" t="s">
        <v>26</v>
      </c>
      <c r="B22" s="76">
        <v>2970</v>
      </c>
      <c r="C22" s="9"/>
      <c r="D22" s="9" t="s">
        <v>62</v>
      </c>
      <c r="E22" s="9"/>
      <c r="K22" s="9"/>
      <c r="L22" s="9"/>
      <c r="M22" s="9"/>
      <c r="N22" s="10"/>
      <c r="O22" s="55"/>
      <c r="P22" s="9"/>
      <c r="Q22" s="9"/>
    </row>
    <row r="23" spans="1:23" ht="15.75" customHeight="1" x14ac:dyDescent="0.25">
      <c r="A23" s="49" t="s">
        <v>29</v>
      </c>
      <c r="B23" s="1">
        <v>8</v>
      </c>
      <c r="C23" s="45"/>
      <c r="D23" s="77" t="s">
        <v>30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</row>
    <row r="24" spans="1:23" ht="15.75" customHeight="1" x14ac:dyDescent="0.25">
      <c r="A24" s="49" t="s">
        <v>29</v>
      </c>
      <c r="B24" s="46">
        <v>360</v>
      </c>
      <c r="C24" s="45"/>
      <c r="D24" s="77" t="s">
        <v>31</v>
      </c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</row>
    <row r="25" spans="1:23" ht="15.75" customHeight="1" x14ac:dyDescent="0.25">
      <c r="A25" s="49" t="s">
        <v>29</v>
      </c>
      <c r="B25" s="46">
        <v>3</v>
      </c>
      <c r="C25" s="45"/>
      <c r="D25" s="77" t="s">
        <v>32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</row>
    <row r="26" spans="1:23" ht="15.75" customHeight="1" x14ac:dyDescent="0.25">
      <c r="A26" s="49" t="s">
        <v>29</v>
      </c>
      <c r="B26" s="52">
        <v>0.25</v>
      </c>
      <c r="C26" s="47"/>
      <c r="D26" s="77" t="s">
        <v>63</v>
      </c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V26" t="s">
        <v>34</v>
      </c>
      <c r="W26" s="54">
        <v>0.78</v>
      </c>
    </row>
    <row r="27" spans="1:23" x14ac:dyDescent="0.25">
      <c r="J27" s="67"/>
    </row>
    <row r="28" spans="1:23" ht="57.95" customHeight="1" x14ac:dyDescent="0.25">
      <c r="A28" s="93" t="s">
        <v>35</v>
      </c>
      <c r="B28" s="93"/>
      <c r="C28" s="33"/>
      <c r="D28" s="32" t="s">
        <v>36</v>
      </c>
      <c r="F28" s="78" t="s">
        <v>37</v>
      </c>
      <c r="G28" s="68" t="s">
        <v>38</v>
      </c>
      <c r="H28" s="68" t="s">
        <v>39</v>
      </c>
      <c r="I28" s="68" t="s">
        <v>40</v>
      </c>
      <c r="J28" s="67"/>
      <c r="K28" s="69" t="s">
        <v>41</v>
      </c>
      <c r="L28" s="70" t="s">
        <v>42</v>
      </c>
      <c r="M28" s="71" t="s">
        <v>43</v>
      </c>
      <c r="N28" s="71" t="s">
        <v>44</v>
      </c>
      <c r="O28" s="71" t="s">
        <v>45</v>
      </c>
      <c r="P28" s="71" t="s">
        <v>46</v>
      </c>
      <c r="Q28" s="12" t="s">
        <v>64</v>
      </c>
      <c r="R28" s="51" t="s">
        <v>48</v>
      </c>
    </row>
    <row r="29" spans="1:23" ht="9.75" customHeight="1" x14ac:dyDescent="0.25">
      <c r="A29" s="43"/>
      <c r="B29" s="43"/>
      <c r="C29" s="33"/>
      <c r="D29" s="33"/>
      <c r="F29" s="20"/>
      <c r="G29" s="20"/>
      <c r="H29" s="20"/>
      <c r="I29" s="20"/>
      <c r="J29" s="67"/>
      <c r="O29" s="56"/>
      <c r="P29" s="42"/>
      <c r="Q29" s="3"/>
      <c r="R29" s="3"/>
    </row>
    <row r="30" spans="1:23" ht="30" customHeight="1" x14ac:dyDescent="0.25">
      <c r="A30" s="94" t="s">
        <v>65</v>
      </c>
      <c r="B30" s="94"/>
      <c r="C30" s="36"/>
      <c r="D30" s="74">
        <v>5.8</v>
      </c>
      <c r="E30" s="37"/>
      <c r="F30" s="26">
        <f>($D30*$B$7/1000*$B$23*$B$6*($B$5-$B$10-$B$4)*$B$24*$B$25*Q30)/3600000/$B$12*$B$8*$B$9</f>
        <v>874.0734001090907</v>
      </c>
      <c r="G30" s="65">
        <f>F30*1000/$B$19</f>
        <v>72839.450009090899</v>
      </c>
      <c r="H30" s="66">
        <f>F30/$B$18*100</f>
        <v>5827.156000727271</v>
      </c>
      <c r="I30" s="67">
        <f>H30/$B$20</f>
        <v>1.8255501255411251</v>
      </c>
      <c r="J30" s="67"/>
      <c r="K30" s="53">
        <f>F30*$B$26</f>
        <v>218.51835002727267</v>
      </c>
      <c r="L30" s="72">
        <f>$B$34/K30</f>
        <v>6.0361063491252755</v>
      </c>
      <c r="M30" s="84">
        <f>$B$34/N30</f>
        <v>5.0300886242710632E-2</v>
      </c>
      <c r="N30" s="35">
        <f>F30*$B$11</f>
        <v>26222.20200327272</v>
      </c>
      <c r="O30" s="79">
        <f>N30*$B$26</f>
        <v>6555.5505008181799</v>
      </c>
      <c r="P30" s="80">
        <f>POWER(O30/$B$34,1/$B$11)-1-$B$16</f>
        <v>5.2902072901761521E-2</v>
      </c>
      <c r="Q30" s="13">
        <v>0.45300000000000001</v>
      </c>
      <c r="R30" s="4" t="s">
        <v>50</v>
      </c>
    </row>
    <row r="31" spans="1:23" ht="20.100000000000001" customHeight="1" x14ac:dyDescent="0.25">
      <c r="A31" s="85" t="s">
        <v>51</v>
      </c>
      <c r="B31" s="86">
        <f>$B$21-($B$21*$B$13)</f>
        <v>1939</v>
      </c>
      <c r="C31" s="36"/>
      <c r="D31" s="74">
        <v>9.1999999999999993</v>
      </c>
      <c r="F31" s="26">
        <f>($D31*$B$7/1000*$B$23*$B$6*($B$5-$B$10-$B$4)*$B$24*$B$25*Q31)/3600000/$B$12*$B$8*$B$9</f>
        <v>1248.7333160727269</v>
      </c>
      <c r="G31" s="65">
        <f t="shared" ref="G31:G34" si="0">F31*1000/$B$19</f>
        <v>104061.10967272724</v>
      </c>
      <c r="H31" s="66">
        <f t="shared" ref="H31:H40" si="1">F31/$B$18*100</f>
        <v>8324.8887738181802</v>
      </c>
      <c r="I31" s="67">
        <f t="shared" ref="I31:I40" si="2">H31/$B$20</f>
        <v>2.608047861471861</v>
      </c>
      <c r="J31" s="67"/>
      <c r="K31" s="53">
        <f>F31*$B$26</f>
        <v>312.18332901818172</v>
      </c>
      <c r="L31" s="72">
        <f>$B$34/K31</f>
        <v>4.2250814742358669</v>
      </c>
      <c r="M31" s="84">
        <f>$B$34/N31</f>
        <v>3.5209012285298893E-2</v>
      </c>
      <c r="N31" s="35">
        <f>F31*$B$11</f>
        <v>37461.999482181804</v>
      </c>
      <c r="O31" s="79">
        <f>N31*$B$26</f>
        <v>9365.4998705454509</v>
      </c>
      <c r="P31" s="80">
        <f>POWER(O31/$B$34,1/$B$11)-1-$B$16</f>
        <v>6.5520455402423794E-2</v>
      </c>
      <c r="Q31" s="13">
        <v>0.40799999999999997</v>
      </c>
      <c r="R31" s="4" t="s">
        <v>50</v>
      </c>
    </row>
    <row r="32" spans="1:23" ht="20.100000000000001" customHeight="1" x14ac:dyDescent="0.25">
      <c r="A32" s="85" t="s">
        <v>52</v>
      </c>
      <c r="B32" s="86">
        <f>$B$14-$B$15</f>
        <v>80</v>
      </c>
      <c r="C32" s="36"/>
      <c r="D32" s="74">
        <v>12.5</v>
      </c>
      <c r="F32" s="26">
        <f>($D32*$B$7/1000*$B$23*$B$6*($B$5-$B$10-$B$4)*$B$24*$B$25*Q32)/3600000/$B$12*$B$8*$B$9</f>
        <v>1528.2312102272729</v>
      </c>
      <c r="G32" s="65">
        <f t="shared" si="0"/>
        <v>127352.60085227275</v>
      </c>
      <c r="H32" s="66">
        <f t="shared" si="1"/>
        <v>10188.208068181819</v>
      </c>
      <c r="I32" s="67">
        <f t="shared" si="2"/>
        <v>3.1917945075757577</v>
      </c>
      <c r="J32" s="67"/>
      <c r="K32" s="53">
        <f>F32*$B$26</f>
        <v>382.05780255681822</v>
      </c>
      <c r="L32" s="72">
        <f>$B$34/K32</f>
        <v>3.4523571856743933</v>
      </c>
      <c r="M32" s="84">
        <f>$B$34/N32</f>
        <v>2.876964321395328E-2</v>
      </c>
      <c r="N32" s="35">
        <f>F32*$B$11</f>
        <v>45846.936306818185</v>
      </c>
      <c r="O32" s="79">
        <f>N32*$B$26</f>
        <v>11461.734076704546</v>
      </c>
      <c r="P32" s="80">
        <f>POWER(O32/$B$34,1/$B$11)-1-$B$16</f>
        <v>7.2732010622167831E-2</v>
      </c>
      <c r="Q32" s="13">
        <v>0.36749999999999999</v>
      </c>
      <c r="R32" s="4" t="s">
        <v>50</v>
      </c>
    </row>
    <row r="33" spans="1:18" ht="20.100000000000001" customHeight="1" x14ac:dyDescent="0.25">
      <c r="A33" s="85" t="s">
        <v>53</v>
      </c>
      <c r="B33" s="86">
        <f>$B$17</f>
        <v>700</v>
      </c>
      <c r="C33" s="36"/>
      <c r="D33" s="74">
        <v>18</v>
      </c>
      <c r="F33" s="26">
        <f>($D33*$B$7/1000*$B$23*$B$6*($B$5-$B$10-$B$4)*$B$24*$B$25*Q33)/3600000/$B$12*$B$8*$B$9</f>
        <v>1838.3685807272727</v>
      </c>
      <c r="G33" s="65">
        <f t="shared" si="0"/>
        <v>153197.38172727273</v>
      </c>
      <c r="H33" s="66">
        <f t="shared" si="1"/>
        <v>12255.790538181818</v>
      </c>
      <c r="I33" s="67">
        <f t="shared" si="2"/>
        <v>3.8395333766233768</v>
      </c>
      <c r="J33" s="67"/>
      <c r="K33" s="53">
        <f>F33*$B$26</f>
        <v>459.59214518181818</v>
      </c>
      <c r="L33" s="72">
        <f>$B$34/K33</f>
        <v>2.8699359069293786</v>
      </c>
      <c r="M33" s="84">
        <f>$B$34/N33</f>
        <v>2.3916132557744822E-2</v>
      </c>
      <c r="N33" s="35">
        <f>F33*$B$11</f>
        <v>55151.057421818179</v>
      </c>
      <c r="O33" s="79">
        <f>N33*$B$26</f>
        <v>13787.764355454545</v>
      </c>
      <c r="P33" s="80">
        <f>POWER(O33/$B$34,1/$B$11)-1-$B$16</f>
        <v>7.9371622462689251E-2</v>
      </c>
      <c r="Q33" s="13">
        <v>0.307</v>
      </c>
      <c r="R33" s="4" t="s">
        <v>50</v>
      </c>
    </row>
    <row r="34" spans="1:18" ht="20.100000000000001" customHeight="1" x14ac:dyDescent="0.25">
      <c r="A34" s="87" t="s">
        <v>66</v>
      </c>
      <c r="B34" s="88">
        <f>B31+B32-B33</f>
        <v>1319</v>
      </c>
      <c r="C34" s="36"/>
      <c r="D34" s="74">
        <v>24</v>
      </c>
      <c r="E34" s="29"/>
      <c r="F34" s="26">
        <f>($D34*$B$7/1000*$B$23*$B$6*($B$5-$B$10-$B$4)*$B$24*$B$25*Q34)/3600000/$B$12*$B$8*$B$9</f>
        <v>2012.0255476363639</v>
      </c>
      <c r="G34" s="65">
        <f t="shared" si="0"/>
        <v>167668.79563636365</v>
      </c>
      <c r="H34" s="66">
        <f t="shared" si="1"/>
        <v>13413.503650909093</v>
      </c>
      <c r="I34" s="67">
        <f t="shared" si="2"/>
        <v>4.2022254545454549</v>
      </c>
      <c r="J34" s="67"/>
      <c r="K34" s="53">
        <f>F34*$B$26</f>
        <v>503.00638690909096</v>
      </c>
      <c r="L34" s="72">
        <f>$B$34/K34</f>
        <v>2.62223310543845</v>
      </c>
      <c r="M34" s="84">
        <f>$B$34/N34</f>
        <v>2.1851942545320416E-2</v>
      </c>
      <c r="N34" s="35">
        <f>F34*$B$11</f>
        <v>60360.766429090916</v>
      </c>
      <c r="O34" s="79">
        <f>N34*$B$26</f>
        <v>15090.191607272729</v>
      </c>
      <c r="P34" s="80">
        <f>POWER(O34/$B$34,1/$B$11)-1-$B$16</f>
        <v>8.2630131830396358E-2</v>
      </c>
      <c r="Q34" s="13">
        <v>0.252</v>
      </c>
      <c r="R34" s="4" t="s">
        <v>50</v>
      </c>
    </row>
    <row r="35" spans="1:18" ht="9.75" customHeight="1" x14ac:dyDescent="0.25">
      <c r="A35" s="30"/>
      <c r="B35" s="29"/>
      <c r="C35" s="36"/>
      <c r="D35" s="41"/>
      <c r="E35" s="29"/>
      <c r="F35" s="28"/>
      <c r="G35" s="28"/>
      <c r="H35" s="28"/>
      <c r="I35" s="28"/>
      <c r="J35" s="67"/>
      <c r="K35" s="28"/>
      <c r="L35" s="72"/>
      <c r="M35" s="40"/>
      <c r="N35" s="39"/>
      <c r="O35" s="81"/>
      <c r="P35" s="82"/>
      <c r="Q35" s="14"/>
      <c r="R35" s="3"/>
    </row>
    <row r="36" spans="1:18" ht="30" customHeight="1" x14ac:dyDescent="0.25">
      <c r="A36" s="91" t="s">
        <v>67</v>
      </c>
      <c r="B36" s="91"/>
      <c r="C36" s="36"/>
      <c r="D36" s="73">
        <v>5.8</v>
      </c>
      <c r="E36" s="37"/>
      <c r="F36" s="26">
        <f>($D36*$B$7/1000*$B$23*$B$6*($B$5-$B$10-$B$4)*$B$24*$B$25*Q36)/3600000/$B$12*$B$8*$B$9</f>
        <v>1014.9284954909089</v>
      </c>
      <c r="G36" s="65">
        <f>F36*1000/$B$19</f>
        <v>84577.374624242409</v>
      </c>
      <c r="H36" s="66">
        <f t="shared" si="1"/>
        <v>6766.1899699393925</v>
      </c>
      <c r="I36" s="67">
        <f t="shared" si="2"/>
        <v>2.1197336998556993</v>
      </c>
      <c r="J36" s="67"/>
      <c r="K36" s="53">
        <f>F36*$B$26</f>
        <v>253.73212387272721</v>
      </c>
      <c r="L36" s="72">
        <f>$B$40/K36</f>
        <v>5.7501587805722174</v>
      </c>
      <c r="M36" s="84">
        <f>$B$40/N36</f>
        <v>4.7917989838101811E-2</v>
      </c>
      <c r="N36" s="35">
        <f>F36*$B$11</f>
        <v>30447.854864727266</v>
      </c>
      <c r="O36" s="79">
        <f>N36*$B$26</f>
        <v>7611.9637161818164</v>
      </c>
      <c r="P36" s="80">
        <f>POWER(O36/$B$40,1/$B$11)-1-$B$16</f>
        <v>5.460999339750372E-2</v>
      </c>
      <c r="Q36" s="13">
        <v>0.52600000000000002</v>
      </c>
      <c r="R36" s="4" t="s">
        <v>50</v>
      </c>
    </row>
    <row r="37" spans="1:18" ht="20.100000000000001" customHeight="1" x14ac:dyDescent="0.25">
      <c r="A37" s="85" t="s">
        <v>51</v>
      </c>
      <c r="B37" s="86">
        <f>$B$22-($B$22*$B$13)</f>
        <v>2079</v>
      </c>
      <c r="C37" s="36"/>
      <c r="D37" s="73">
        <v>9.1999999999999993</v>
      </c>
      <c r="F37" s="26">
        <f>($D37*$B$7/1000*$B$23*$B$6*($B$5-$B$10-$B$4)*$B$24*$B$25*Q37)/3600000/$B$12*$B$8*$B$9</f>
        <v>1502.7648485090899</v>
      </c>
      <c r="G37" s="65">
        <f t="shared" ref="G37:G40" si="3">F37*1000/$B$19</f>
        <v>125230.40404242417</v>
      </c>
      <c r="H37" s="66">
        <f t="shared" si="1"/>
        <v>10018.432323393932</v>
      </c>
      <c r="I37" s="67">
        <f t="shared" si="2"/>
        <v>3.1386066176046152</v>
      </c>
      <c r="J37" s="67"/>
      <c r="K37" s="53">
        <f>F37*$B$26</f>
        <v>375.69121212727248</v>
      </c>
      <c r="L37" s="72">
        <f>$B$40/K37</f>
        <v>3.8835084582860464</v>
      </c>
      <c r="M37" s="84">
        <f>$B$40/N37</f>
        <v>3.2362570485717057E-2</v>
      </c>
      <c r="N37" s="35">
        <f>F37*$B$11</f>
        <v>45082.945455272697</v>
      </c>
      <c r="O37" s="79">
        <f>N37*$B$26</f>
        <v>11270.736363818174</v>
      </c>
      <c r="P37" s="80">
        <f>POWER(O37/$B$40,1/$B$11)-1-$B$16</f>
        <v>6.8524390669505442E-2</v>
      </c>
      <c r="Q37" s="13">
        <v>0.49099999999999999</v>
      </c>
      <c r="R37" s="4" t="s">
        <v>50</v>
      </c>
    </row>
    <row r="38" spans="1:18" ht="20.100000000000001" customHeight="1" x14ac:dyDescent="0.25">
      <c r="A38" s="85" t="s">
        <v>52</v>
      </c>
      <c r="B38" s="86">
        <f>$B$14-$B$15</f>
        <v>80</v>
      </c>
      <c r="C38" s="36"/>
      <c r="D38" s="73">
        <v>12.5</v>
      </c>
      <c r="F38" s="26">
        <f>($D38*$B$7/1000*$B$23*$B$6*($B$5-$B$10-$B$4)*$B$24*$B$25*Q38)/3600000/$B$12*$B$8*$B$9</f>
        <v>1887.9373318181817</v>
      </c>
      <c r="G38" s="65">
        <f t="shared" si="3"/>
        <v>157328.11098484849</v>
      </c>
      <c r="H38" s="66">
        <f t="shared" si="1"/>
        <v>12586.248878787879</v>
      </c>
      <c r="I38" s="67">
        <f t="shared" si="2"/>
        <v>3.943060425685426</v>
      </c>
      <c r="J38" s="67"/>
      <c r="K38" s="53">
        <f>F38*$B$26</f>
        <v>471.98433295454544</v>
      </c>
      <c r="L38" s="72">
        <f>$B$40/K38</f>
        <v>3.0912043009285846</v>
      </c>
      <c r="M38" s="84">
        <f>$B$40/N38</f>
        <v>2.5760035841071539E-2</v>
      </c>
      <c r="N38" s="35">
        <f>F38*$B$11</f>
        <v>56638.119954545451</v>
      </c>
      <c r="O38" s="79">
        <f>N38*$B$26</f>
        <v>14159.529988636363</v>
      </c>
      <c r="P38" s="80">
        <f>POWER(O38/$B$40,1/$B$11)-1-$B$16</f>
        <v>7.6697779796909282E-2</v>
      </c>
      <c r="Q38" s="13">
        <v>0.45400000000000001</v>
      </c>
      <c r="R38" s="4" t="s">
        <v>50</v>
      </c>
    </row>
    <row r="39" spans="1:18" ht="20.100000000000001" customHeight="1" x14ac:dyDescent="0.25">
      <c r="A39" s="85" t="s">
        <v>53</v>
      </c>
      <c r="B39" s="86">
        <f>$B$17</f>
        <v>700</v>
      </c>
      <c r="C39" s="36"/>
      <c r="D39" s="73">
        <v>18</v>
      </c>
      <c r="F39" s="26">
        <f>($D39*$B$7/1000*$B$23*$B$6*($B$5-$B$10-$B$4)*$B$24*$B$25*Q39)/3600000/$B$12*$B$8*$B$9</f>
        <v>2329.3986250909088</v>
      </c>
      <c r="G39" s="65">
        <f t="shared" si="3"/>
        <v>194116.55209090907</v>
      </c>
      <c r="H39" s="66">
        <f t="shared" si="1"/>
        <v>15529.324167272725</v>
      </c>
      <c r="I39" s="67">
        <f t="shared" si="2"/>
        <v>4.8650764935064927</v>
      </c>
      <c r="J39" s="67"/>
      <c r="K39" s="53">
        <f>F39*$B$26</f>
        <v>582.3496562727272</v>
      </c>
      <c r="L39" s="72">
        <f>$B$40/K39</f>
        <v>2.5053676674906771</v>
      </c>
      <c r="M39" s="84">
        <f>$B$40/N39</f>
        <v>2.0878063895755639E-2</v>
      </c>
      <c r="N39" s="35">
        <f>F39*$B$11</f>
        <v>69881.958752727267</v>
      </c>
      <c r="O39" s="79">
        <f>N39*$B$26</f>
        <v>17470.489688181817</v>
      </c>
      <c r="P39" s="80">
        <f>POWER(O39/$B$40,1/$B$11)-1-$B$16</f>
        <v>8.4279689664809476E-2</v>
      </c>
      <c r="Q39" s="13">
        <v>0.38900000000000001</v>
      </c>
      <c r="R39" s="4" t="s">
        <v>50</v>
      </c>
    </row>
    <row r="40" spans="1:18" ht="20.100000000000001" customHeight="1" x14ac:dyDescent="0.25">
      <c r="A40" s="87" t="s">
        <v>68</v>
      </c>
      <c r="B40" s="88">
        <f>B37+B38-B39</f>
        <v>1459</v>
      </c>
      <c r="C40" s="36"/>
      <c r="D40" s="73">
        <v>24</v>
      </c>
      <c r="F40" s="26">
        <f>($D40*$B$7/1000*$B$23*$B$6*($B$5-$B$10-$B$4)*$B$24*$B$25*Q40)/3600000/$B$12*$B$8*$B$9</f>
        <v>2578.905761454545</v>
      </c>
      <c r="G40" s="65">
        <f t="shared" si="3"/>
        <v>214908.81345454542</v>
      </c>
      <c r="H40" s="66">
        <f t="shared" si="1"/>
        <v>17192.705076363636</v>
      </c>
      <c r="I40" s="67">
        <f t="shared" si="2"/>
        <v>5.3861858008658006</v>
      </c>
      <c r="J40" s="67"/>
      <c r="K40" s="53">
        <f>F40*$B$26</f>
        <v>644.72644036363624</v>
      </c>
      <c r="L40" s="72">
        <f>$B$40/K40</f>
        <v>2.2629752848000155</v>
      </c>
      <c r="M40" s="84">
        <f>$B$40/N40</f>
        <v>1.8858127373333464E-2</v>
      </c>
      <c r="N40" s="35">
        <f>F40*$B$11</f>
        <v>77367.172843636348</v>
      </c>
      <c r="O40" s="79">
        <f>N40*$B$26</f>
        <v>19341.793210909087</v>
      </c>
      <c r="P40" s="80">
        <f>POWER(O40/$B$40,1/$B$11)-1-$B$16</f>
        <v>8.7970426858016371E-2</v>
      </c>
      <c r="Q40" s="13">
        <v>0.32300000000000001</v>
      </c>
      <c r="R40" s="4" t="s">
        <v>50</v>
      </c>
    </row>
    <row r="41" spans="1:18" ht="20.100000000000001" customHeight="1" x14ac:dyDescent="0.25">
      <c r="A41" s="34"/>
      <c r="J41" s="67"/>
      <c r="Q41" s="3"/>
      <c r="R41" s="3"/>
    </row>
    <row r="42" spans="1:18" ht="57.95" customHeight="1" x14ac:dyDescent="0.25">
      <c r="A42" s="93" t="s">
        <v>57</v>
      </c>
      <c r="B42" s="93"/>
      <c r="C42" s="33"/>
      <c r="D42" s="32" t="s">
        <v>36</v>
      </c>
      <c r="F42" s="78" t="s">
        <v>37</v>
      </c>
      <c r="G42" s="68" t="s">
        <v>38</v>
      </c>
      <c r="H42" s="68" t="s">
        <v>39</v>
      </c>
      <c r="I42" s="68" t="s">
        <v>40</v>
      </c>
      <c r="J42" s="67"/>
      <c r="K42" s="69" t="s">
        <v>41</v>
      </c>
      <c r="L42" s="70" t="s">
        <v>42</v>
      </c>
      <c r="M42" s="71" t="s">
        <v>43</v>
      </c>
      <c r="N42" s="71" t="s">
        <v>44</v>
      </c>
      <c r="O42" s="71" t="s">
        <v>45</v>
      </c>
      <c r="P42" s="71" t="s">
        <v>46</v>
      </c>
      <c r="Q42" s="12" t="s">
        <v>69</v>
      </c>
      <c r="R42" s="50" t="s">
        <v>48</v>
      </c>
    </row>
    <row r="43" spans="1:18" ht="9.75" customHeight="1" x14ac:dyDescent="0.25">
      <c r="F43" s="15"/>
      <c r="G43" s="20"/>
      <c r="H43" s="20"/>
      <c r="I43" s="20"/>
      <c r="J43" s="67"/>
      <c r="K43" s="16"/>
      <c r="O43" s="57"/>
      <c r="P43" s="31"/>
      <c r="Q43" s="3"/>
      <c r="R43" s="3"/>
    </row>
    <row r="44" spans="1:18" ht="30" customHeight="1" x14ac:dyDescent="0.25">
      <c r="A44" s="90" t="s">
        <v>65</v>
      </c>
      <c r="B44" s="90"/>
      <c r="D44" s="74">
        <v>5.8</v>
      </c>
      <c r="F44" s="26">
        <f>($D44*$B$7/1000*$B$23*$B$6*($B$5-$B$10-$B$4)*$B$24*$B$25*Q44)/3600000/$B$12*$B$8*$B$9</f>
        <v>1012.9989736363635</v>
      </c>
      <c r="G44" s="65">
        <f>F44*1000/$B$19</f>
        <v>84416.581136363631</v>
      </c>
      <c r="H44" s="66">
        <f>F44/$B$18*100</f>
        <v>6753.3264909090904</v>
      </c>
      <c r="I44" s="67">
        <f>H44/$B$20</f>
        <v>2.1157037878787879</v>
      </c>
      <c r="J44" s="67"/>
      <c r="K44" s="53">
        <f>F44*$B$26</f>
        <v>253.24974340909088</v>
      </c>
      <c r="L44" s="72">
        <f>$B$48/K44</f>
        <v>5.2082974783880944</v>
      </c>
      <c r="M44" s="84">
        <f>$B$48/N44</f>
        <v>4.3402478986567454E-2</v>
      </c>
      <c r="N44" s="25">
        <f>F44*$B$11</f>
        <v>30389.969209090905</v>
      </c>
      <c r="O44" s="79">
        <f>N44*$B$26</f>
        <v>7597.4923022727262</v>
      </c>
      <c r="P44" s="80">
        <f>POWER(O44/$B$48,1/$B$11)-1-$B$16</f>
        <v>5.8101662943902399E-2</v>
      </c>
      <c r="Q44" s="13">
        <v>0.52500000000000002</v>
      </c>
      <c r="R44" s="4" t="s">
        <v>50</v>
      </c>
    </row>
    <row r="45" spans="1:18" ht="20.100000000000001" customHeight="1" x14ac:dyDescent="0.25">
      <c r="A45" s="85" t="s">
        <v>51</v>
      </c>
      <c r="B45" s="86">
        <f>$B$21-($B$21*$B$13)</f>
        <v>1939</v>
      </c>
      <c r="D45" s="74">
        <v>9.1999999999999993</v>
      </c>
      <c r="F45" s="26">
        <f>($D45*$B$7/1000*$B$23*$B$6*($B$5-$B$10-$B$4)*$B$24*$B$25*Q45)/3600000/$B$12*$B$8*$B$9</f>
        <v>1450.7342936727266</v>
      </c>
      <c r="G45" s="65">
        <f t="shared" ref="G45:G48" si="4">F45*1000/$B$19</f>
        <v>120894.52447272722</v>
      </c>
      <c r="H45" s="66">
        <f t="shared" ref="H45:H48" si="5">F45/$B$18*100</f>
        <v>9671.5619578181777</v>
      </c>
      <c r="I45" s="67">
        <f t="shared" ref="I45:I54" si="6">H45/$B$20</f>
        <v>3.0299379567099556</v>
      </c>
      <c r="J45" s="67"/>
      <c r="K45" s="53">
        <f>F45*$B$26</f>
        <v>362.68357341818165</v>
      </c>
      <c r="L45" s="72">
        <f>$B$48/K45</f>
        <v>3.6367789904815067</v>
      </c>
      <c r="M45" s="84">
        <f>$B$48/N45</f>
        <v>3.0306491587345885E-2</v>
      </c>
      <c r="N45" s="25">
        <f>F45*$B$11</f>
        <v>43522.028810181801</v>
      </c>
      <c r="O45" s="79">
        <f>N45*$B$26</f>
        <v>10880.50720254545</v>
      </c>
      <c r="P45" s="80">
        <f>POWER(O45/$B$48,1/$B$11)-1-$B$16</f>
        <v>7.0869283479726874E-2</v>
      </c>
      <c r="Q45" s="13">
        <v>0.47399999999999998</v>
      </c>
      <c r="R45" s="4" t="s">
        <v>50</v>
      </c>
    </row>
    <row r="46" spans="1:18" ht="20.100000000000001" customHeight="1" x14ac:dyDescent="0.25">
      <c r="A46" s="85" t="s">
        <v>52</v>
      </c>
      <c r="B46" s="86">
        <f>$B$14-$B$15</f>
        <v>80</v>
      </c>
      <c r="D46" s="74">
        <v>12.5</v>
      </c>
      <c r="F46" s="26">
        <f>($D46*$B$7/1000*$B$23*$B$6*($B$5-$B$10-$B$4)*$B$24*$B$25*Q46)/3600000/$B$12*$B$8*$B$9</f>
        <v>1779.8175727272728</v>
      </c>
      <c r="G46" s="65">
        <f t="shared" si="4"/>
        <v>148318.13106060607</v>
      </c>
      <c r="H46" s="66">
        <f t="shared" si="5"/>
        <v>11865.450484848485</v>
      </c>
      <c r="I46" s="67">
        <f t="shared" si="6"/>
        <v>3.7172463924963925</v>
      </c>
      <c r="J46" s="67"/>
      <c r="K46" s="53">
        <f>F46*$B$26</f>
        <v>444.9543931818182</v>
      </c>
      <c r="L46" s="72">
        <f>$B$48/K46</f>
        <v>2.9643487517180831</v>
      </c>
      <c r="M46" s="84">
        <f>$B$48/N46</f>
        <v>2.470290626431736E-2</v>
      </c>
      <c r="N46" s="25">
        <f>F46*$B$11</f>
        <v>53394.527181818186</v>
      </c>
      <c r="O46" s="79">
        <f>N46*$B$26</f>
        <v>13348.631795454547</v>
      </c>
      <c r="P46" s="80">
        <f>POWER(O46/$B$48,1/$B$11)-1-$B$16</f>
        <v>7.820553579892775E-2</v>
      </c>
      <c r="Q46" s="13">
        <v>0.42799999999999999</v>
      </c>
      <c r="R46" s="4" t="s">
        <v>50</v>
      </c>
    </row>
    <row r="47" spans="1:18" ht="20.100000000000001" customHeight="1" x14ac:dyDescent="0.25">
      <c r="A47" s="85" t="s">
        <v>53</v>
      </c>
      <c r="B47" s="86">
        <f>$B$17</f>
        <v>700</v>
      </c>
      <c r="D47" s="74">
        <v>18</v>
      </c>
      <c r="F47" s="26">
        <f>($D47*$B$7/1000*$B$23*$B$6*($B$5-$B$10-$B$4)*$B$24*$B$25*Q47)/3600000/$B$12*$B$8*$B$9</f>
        <v>2173.7061719999997</v>
      </c>
      <c r="G47" s="65">
        <f t="shared" si="4"/>
        <v>181142.18099999998</v>
      </c>
      <c r="H47" s="66">
        <f t="shared" si="5"/>
        <v>14491.374479999999</v>
      </c>
      <c r="I47" s="67">
        <f t="shared" si="6"/>
        <v>4.5399042857142851</v>
      </c>
      <c r="J47" s="67"/>
      <c r="K47" s="53">
        <f>F47*$B$26</f>
        <v>543.42654299999992</v>
      </c>
      <c r="L47" s="72">
        <f>$B$48/K47</f>
        <v>2.4271909736289787</v>
      </c>
      <c r="M47" s="84">
        <f>$B$48/N47</f>
        <v>2.0226591446908158E-2</v>
      </c>
      <c r="N47" s="25">
        <f>F47*$B$11</f>
        <v>65211.185159999994</v>
      </c>
      <c r="O47" s="79">
        <f>N47*$B$26</f>
        <v>16302.796289999998</v>
      </c>
      <c r="P47" s="80">
        <f>POWER(O47/$B$48,1/$B$11)-1-$B$16</f>
        <v>8.5428163988746864E-2</v>
      </c>
      <c r="Q47" s="13">
        <v>0.36299999999999999</v>
      </c>
      <c r="R47" s="4" t="s">
        <v>50</v>
      </c>
    </row>
    <row r="48" spans="1:18" ht="20.100000000000001" customHeight="1" x14ac:dyDescent="0.25">
      <c r="A48" s="87" t="s">
        <v>66</v>
      </c>
      <c r="B48" s="88">
        <f>B45+B46-B47</f>
        <v>1319</v>
      </c>
      <c r="D48" s="74">
        <v>24</v>
      </c>
      <c r="F48" s="26">
        <f>($D48*$B$7/1000*$B$23*$B$6*($B$5-$B$10-$B$4)*$B$24*$B$25*Q48)/3600000/$B$12*$B$8*$B$9</f>
        <v>2459.1423359999999</v>
      </c>
      <c r="G48" s="65">
        <f t="shared" si="4"/>
        <v>204928.52799999996</v>
      </c>
      <c r="H48" s="66">
        <f t="shared" si="5"/>
        <v>16394.282239999997</v>
      </c>
      <c r="I48" s="67">
        <f t="shared" si="6"/>
        <v>5.136053333333332</v>
      </c>
      <c r="J48" s="67"/>
      <c r="K48" s="53">
        <f>F48*$B$26</f>
        <v>614.78558399999997</v>
      </c>
      <c r="L48" s="72">
        <f>$B$48/K48</f>
        <v>2.1454634499041867</v>
      </c>
      <c r="M48" s="84">
        <f>$B$48/N48</f>
        <v>1.7878862082534887E-2</v>
      </c>
      <c r="N48" s="25">
        <f>F48*$B$11</f>
        <v>73774.270080000002</v>
      </c>
      <c r="O48" s="79">
        <f>N48*$B$26</f>
        <v>18443.567520000001</v>
      </c>
      <c r="P48" s="80">
        <f>POWER(O48/$B$48,1/$B$11)-1-$B$16</f>
        <v>8.9909566939302188E-2</v>
      </c>
      <c r="Q48" s="13">
        <v>0.308</v>
      </c>
      <c r="R48" s="4" t="s">
        <v>59</v>
      </c>
    </row>
    <row r="49" spans="1:18" ht="9.75" customHeight="1" x14ac:dyDescent="0.25">
      <c r="A49" s="30"/>
      <c r="B49" s="29"/>
      <c r="F49" s="28"/>
      <c r="G49" s="28"/>
      <c r="H49" s="28"/>
      <c r="I49" s="28"/>
      <c r="J49" s="28"/>
      <c r="K49" s="24"/>
      <c r="L49" s="72"/>
      <c r="M49" s="27"/>
      <c r="O49" s="81"/>
      <c r="P49" s="83"/>
      <c r="Q49" s="17"/>
      <c r="R49" s="3"/>
    </row>
    <row r="50" spans="1:18" ht="30" customHeight="1" x14ac:dyDescent="0.25">
      <c r="A50" s="91" t="s">
        <v>67</v>
      </c>
      <c r="B50" s="91"/>
      <c r="D50" s="73">
        <v>5.8</v>
      </c>
      <c r="F50" s="26">
        <f>($D50*$B$7/1000*$B$23*$B$6*($B$5-$B$10-$B$4)*$B$24*$B$25*Q50)/3600000/$B$12*$B$8*$B$9</f>
        <v>1177.008331272727</v>
      </c>
      <c r="G50" s="65">
        <f>F50*1000/$B$19</f>
        <v>98084.027606060568</v>
      </c>
      <c r="H50" s="66">
        <f t="shared" ref="H50:H54" si="7">F50/$B$18*100</f>
        <v>7846.7222084848472</v>
      </c>
      <c r="I50" s="67">
        <f t="shared" si="6"/>
        <v>2.4582463059163056</v>
      </c>
      <c r="J50" s="67"/>
      <c r="K50" s="53">
        <f>F50*$B$26</f>
        <v>294.25208281818175</v>
      </c>
      <c r="L50" s="72">
        <f>$B$54/K50</f>
        <v>4.9583336370180104</v>
      </c>
      <c r="M50" s="84">
        <f>$B$54/N50</f>
        <v>4.1319446975150088E-2</v>
      </c>
      <c r="N50" s="25">
        <f>F50*$B$11</f>
        <v>35310.249938181812</v>
      </c>
      <c r="O50" s="79">
        <f>N50*$B$26</f>
        <v>8827.5624845454531</v>
      </c>
      <c r="P50" s="80">
        <f>POWER(O50/$B$54,1/$B$11)-1-$B$16</f>
        <v>5.9841064940290956E-2</v>
      </c>
      <c r="Q50" s="13">
        <v>0.61</v>
      </c>
      <c r="R50" s="4" t="s">
        <v>50</v>
      </c>
    </row>
    <row r="51" spans="1:18" ht="20.100000000000001" customHeight="1" x14ac:dyDescent="0.25">
      <c r="A51" s="85" t="s">
        <v>51</v>
      </c>
      <c r="B51" s="86">
        <f>$B$22-($B$22*$B$13)</f>
        <v>2079</v>
      </c>
      <c r="D51" s="73">
        <v>9.1999999999999993</v>
      </c>
      <c r="F51" s="26">
        <f>($D51*$B$7/1000*$B$23*$B$6*($B$5-$B$10-$B$4)*$B$24*$B$25*Q51)/3600000/$B$12*$B$8*$B$9</f>
        <v>1744.5538974545443</v>
      </c>
      <c r="G51" s="65">
        <f t="shared" ref="G51:G54" si="8">F51*1000/$B$19</f>
        <v>145379.49145454535</v>
      </c>
      <c r="H51" s="66">
        <f t="shared" si="7"/>
        <v>11630.359316363629</v>
      </c>
      <c r="I51" s="67">
        <f t="shared" si="6"/>
        <v>3.6435962770562749</v>
      </c>
      <c r="J51" s="67"/>
      <c r="K51" s="53">
        <f>F51*$B$26</f>
        <v>436.13847436363608</v>
      </c>
      <c r="L51" s="72">
        <f>$B$54/K51</f>
        <v>3.3452678123130681</v>
      </c>
      <c r="M51" s="84">
        <f>$B$54/N51</f>
        <v>2.7877231769275569E-2</v>
      </c>
      <c r="N51" s="25">
        <f>F51*$B$11</f>
        <v>52336.616923636328</v>
      </c>
      <c r="O51" s="79">
        <f>N51*$B$26</f>
        <v>13084.154230909082</v>
      </c>
      <c r="P51" s="80">
        <f>POWER(O51/$B$54,1/$B$11)-1-$B$16</f>
        <v>7.386144794031968E-2</v>
      </c>
      <c r="Q51" s="13">
        <v>0.56999999999999995</v>
      </c>
      <c r="R51" s="4" t="s">
        <v>50</v>
      </c>
    </row>
    <row r="52" spans="1:18" ht="20.100000000000001" customHeight="1" x14ac:dyDescent="0.25">
      <c r="A52" s="85" t="s">
        <v>52</v>
      </c>
      <c r="B52" s="86">
        <f>$B$14-$B$15</f>
        <v>80</v>
      </c>
      <c r="D52" s="73">
        <v>12.5</v>
      </c>
      <c r="F52" s="26">
        <f>($D52*$B$7/1000*$B$23*$B$6*($B$5-$B$10-$B$4)*$B$24*$B$25*Q52)/3600000/$B$12*$B$8*$B$9</f>
        <v>2203.9797045454548</v>
      </c>
      <c r="G52" s="65">
        <f t="shared" si="8"/>
        <v>183664.97537878787</v>
      </c>
      <c r="H52" s="66">
        <f t="shared" si="7"/>
        <v>14693.198030303032</v>
      </c>
      <c r="I52" s="67">
        <f t="shared" si="6"/>
        <v>4.603132215007216</v>
      </c>
      <c r="J52" s="67"/>
      <c r="K52" s="53">
        <f>F52*$B$26</f>
        <v>550.99492613636369</v>
      </c>
      <c r="L52" s="72">
        <f>$B$54/K52</f>
        <v>2.6479372690973157</v>
      </c>
      <c r="M52" s="84">
        <f>$B$54/N52</f>
        <v>2.2066143909144298E-2</v>
      </c>
      <c r="N52" s="25">
        <f>F52*$B$11</f>
        <v>66119.391136363643</v>
      </c>
      <c r="O52" s="79">
        <f>N52*$B$26</f>
        <v>16529.847784090911</v>
      </c>
      <c r="P52" s="80">
        <f>POWER(O52/$B$54,1/$B$11)-1-$B$16</f>
        <v>8.2277515787345656E-2</v>
      </c>
      <c r="Q52" s="13">
        <v>0.53</v>
      </c>
      <c r="R52" s="4" t="s">
        <v>50</v>
      </c>
    </row>
    <row r="53" spans="1:18" ht="20.100000000000001" customHeight="1" x14ac:dyDescent="0.25">
      <c r="A53" s="85" t="s">
        <v>53</v>
      </c>
      <c r="B53" s="86">
        <f>$B$17</f>
        <v>700</v>
      </c>
      <c r="D53" s="73">
        <v>18</v>
      </c>
      <c r="F53" s="26">
        <f>($D53*$B$7/1000*$B$23*$B$6*($B$5-$B$10-$B$4)*$B$24*$B$25*Q53)/3600000/$B$12*$B$8*$B$9</f>
        <v>2754.5587854545452</v>
      </c>
      <c r="G53" s="65">
        <f t="shared" si="8"/>
        <v>229546.56545454543</v>
      </c>
      <c r="H53" s="66">
        <f t="shared" si="7"/>
        <v>18363.725236363636</v>
      </c>
      <c r="I53" s="67">
        <f t="shared" si="6"/>
        <v>5.7530467532467533</v>
      </c>
      <c r="J53" s="67"/>
      <c r="K53" s="53">
        <f>F53*$B$26</f>
        <v>688.63969636363629</v>
      </c>
      <c r="L53" s="72">
        <f>$B$54/K53</f>
        <v>2.1186696144649422</v>
      </c>
      <c r="M53" s="84">
        <f>$B$54/N53</f>
        <v>1.7655580120541182E-2</v>
      </c>
      <c r="N53" s="25">
        <f>F53*$B$11</f>
        <v>82636.763563636356</v>
      </c>
      <c r="O53" s="79">
        <f>N53*$B$26</f>
        <v>20659.190890909089</v>
      </c>
      <c r="P53" s="80">
        <f>POWER(O53/$B$54,1/$B$11)-1-$B$16</f>
        <v>9.03670723481933E-2</v>
      </c>
      <c r="Q53" s="13">
        <v>0.46</v>
      </c>
      <c r="R53" s="4" t="s">
        <v>50</v>
      </c>
    </row>
    <row r="54" spans="1:18" ht="20.100000000000001" customHeight="1" x14ac:dyDescent="0.25">
      <c r="A54" s="87" t="s">
        <v>68</v>
      </c>
      <c r="B54" s="88">
        <f>B51+B52-B53</f>
        <v>1459</v>
      </c>
      <c r="D54" s="73">
        <v>24</v>
      </c>
      <c r="F54" s="26">
        <f>($D54*$B$7/1000*$B$23*$B$6*($B$5-$B$10-$B$4)*$B$24*$B$25*Q54)/3600000/$B$12*$B$8*$B$9</f>
        <v>3121.8332901818185</v>
      </c>
      <c r="G54" s="65">
        <f t="shared" si="8"/>
        <v>260152.77418181821</v>
      </c>
      <c r="H54" s="66">
        <f t="shared" si="7"/>
        <v>20812.221934545458</v>
      </c>
      <c r="I54" s="67">
        <f t="shared" si="6"/>
        <v>6.5201196536796546</v>
      </c>
      <c r="J54" s="67"/>
      <c r="K54" s="53">
        <f>F54*$B$26</f>
        <v>780.45832254545462</v>
      </c>
      <c r="L54" s="72">
        <f>$B$54/K54</f>
        <v>1.8694143657043603</v>
      </c>
      <c r="M54" s="84">
        <f>$B$54/N54</f>
        <v>1.5578453047536335E-2</v>
      </c>
      <c r="N54" s="25">
        <f>F54*$B$11</f>
        <v>93654.998705454549</v>
      </c>
      <c r="O54" s="79">
        <f>N54*$B$26</f>
        <v>23413.749676363637</v>
      </c>
      <c r="P54" s="80">
        <f>POWER(O54/$B$54,1/$B$11)-1-$B$16</f>
        <v>9.493406257225856E-2</v>
      </c>
      <c r="Q54" s="13">
        <v>0.39100000000000001</v>
      </c>
      <c r="R54" s="4" t="s">
        <v>59</v>
      </c>
    </row>
    <row r="55" spans="1:18" ht="17.25" customHeight="1" x14ac:dyDescent="0.25">
      <c r="R55" s="24"/>
    </row>
    <row r="72" spans="6:16" x14ac:dyDescent="0.25">
      <c r="F72" s="20"/>
      <c r="G72" s="20"/>
      <c r="H72" s="20"/>
      <c r="I72" s="20"/>
      <c r="J72" s="20"/>
      <c r="L72" s="18"/>
      <c r="N72" s="92"/>
      <c r="O72" s="92"/>
      <c r="P72" s="19"/>
    </row>
  </sheetData>
  <mergeCells count="15">
    <mergeCell ref="A42:B42"/>
    <mergeCell ref="A44:B44"/>
    <mergeCell ref="A50:B50"/>
    <mergeCell ref="N72:O72"/>
    <mergeCell ref="B1:I1"/>
    <mergeCell ref="D7:Q7"/>
    <mergeCell ref="D11:Q11"/>
    <mergeCell ref="D12:Q12"/>
    <mergeCell ref="A28:B28"/>
    <mergeCell ref="A30:B30"/>
    <mergeCell ref="A36:B36"/>
    <mergeCell ref="A3:Q3"/>
    <mergeCell ref="D4:Q4"/>
    <mergeCell ref="D5:Q5"/>
    <mergeCell ref="D6:Q6"/>
  </mergeCells>
  <dataValidations disablePrompts="1" count="1">
    <dataValidation type="list" allowBlank="1" showInputMessage="1" showErrorMessage="1" sqref="D12:K12" xr:uid="{C1A08A97-3933-47EF-AEB2-23D8DC6B4ED7}">
      <formula1>Warmwasseraufbereitung</formula1>
    </dataValidation>
  </dataValidations>
  <pageMargins left="0.7" right="0.7" top="0.75" bottom="0.75" header="0.3" footer="0.3"/>
  <pageSetup paperSize="9" scale="43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Joulia-Inline</vt:lpstr>
      <vt:lpstr>Joulia-Twinline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Manuel Marti</cp:lastModifiedBy>
  <cp:revision/>
  <dcterms:created xsi:type="dcterms:W3CDTF">2019-07-24T08:28:52Z</dcterms:created>
  <dcterms:modified xsi:type="dcterms:W3CDTF">2026-01-09T10:49:06Z</dcterms:modified>
  <cp:category/>
  <cp:contentStatus/>
</cp:coreProperties>
</file>